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_rels/sheet2.xml.rels" ContentType="application/vnd.openxmlformats-package.relationships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599" windowHeight="8192" windowWidth="16384" xWindow="0" yWindow="0"/>
  </bookViews>
  <sheets>
    <sheet name="Parameters" sheetId="1" state="visible" r:id="rId2"/>
    <sheet name="Summary" sheetId="2" state="visible" r:id="rId3"/>
    <sheet name="Yearly Cash Flows" sheetId="3" state="visible" r:id="rId4"/>
    <sheet name="Monthly Cash Flows" sheetId="4" state="visible" r:id="rId5"/>
  </sheets>
  <definedNames>
    <definedName function="false" hidden="false" name="AdjustedGroveValue" vbProcedure="false">Parameters!$B$31</definedName>
    <definedName function="false" hidden="false" name="AnnualEnergyCostEscalation" vbProcedure="false">Parameters!$B$15</definedName>
    <definedName function="false" hidden="false" name="AnnualProductionDegredation" vbProcedure="false">Parameters!$B$16</definedName>
    <definedName function="false" hidden="false" name="AnnualSolarTreeKWH" vbProcedure="false">Parameters!$B$27</definedName>
    <definedName function="false" hidden="false" name="DbYearSelectionCriteriaStart" vbProcedure="false">'Yearly Cash Flows'!$A$19:$A$20</definedName>
    <definedName function="false" hidden="false" name="DepreciationTable" vbProcedure="false">Parameters!$A$57:$D$62</definedName>
    <definedName function="false" hidden="false" name="FedDepreciation" vbProcedure="false">Parameters!$B$25</definedName>
    <definedName function="false" hidden="false" name="FedInvestmentTaxCredit" vbProcedure="false">Parameters!$B$23</definedName>
    <definedName function="false" hidden="false" name="FedTaxCreditTable" vbProcedure="false">Parameters!$A$47:$B$50</definedName>
    <definedName function="false" hidden="false" name="FedTaxRate" vbProcedure="false">Parameters!$B$10</definedName>
    <definedName function="false" hidden="false" name="FinanceRate" vbProcedure="false">Parameters!$B$17</definedName>
    <definedName function="false" hidden="false" name="KwhCost" vbProcedure="false">Parameters!$B$12</definedName>
    <definedName function="false" hidden="false" name="KwhPerYear" vbProcedure="false">Parameters!$B$14</definedName>
    <definedName function="false" hidden="false" name="KwhProductionIncentive" vbProcedure="false">Parameters!$B$13</definedName>
    <definedName function="false" hidden="false" name="MonEnergyCostEscalation" vbProcedure="false">Parameters!$B$36</definedName>
    <definedName function="false" hidden="false" name="MonKwhCost" vbProcedure="false">Parameters!$B$38</definedName>
    <definedName function="false" hidden="false" name="MonProductionDegredation" vbProcedure="false">Parameters!$B$37</definedName>
    <definedName function="false" hidden="false" name="MonthlyCashFlowTable" vbProcedure="false">'Monthly Cash Flows'!$A$1:$AA$48</definedName>
    <definedName function="false" hidden="false" name="MonthsInYear" vbProcedure="false">Parameters!$B$34</definedName>
    <definedName function="false" hidden="false" name="NonSolarValue" vbProcedure="false">Parameters!$B$20</definedName>
    <definedName function="false" hidden="false" name="NumEVChargers" vbProcedure="false">Parameters!$B$21</definedName>
    <definedName function="false" hidden="false" name="NumPayments" vbProcedure="false">Parameters!$B$26</definedName>
    <definedName function="false" hidden="false" name="NumSolarTrees" vbProcedure="false">Parameters!$B$19</definedName>
    <definedName function="false" hidden="false" name="PeriodsInYear" vbProcedure="false">Parameters!$B$34</definedName>
    <definedName function="false" hidden="false" name="PricePerEVCharger" vbProcedure="false">Parameters!$B$22</definedName>
    <definedName function="false" hidden="false" name="ProjectName" vbProcedure="false">Parameters!$B$4</definedName>
    <definedName function="false" hidden="false" name="ProjectState" vbProcedure="false">Parameters!$B$6</definedName>
    <definedName function="false" hidden="false" name="SolarGrovePrice" vbProcedure="false">Parameters!$B$32</definedName>
    <definedName function="false" hidden="false" name="SolarTreePrice" vbProcedure="false">Parameters!$B$18</definedName>
    <definedName function="false" hidden="false" name="StateTaxCredit" vbProcedure="false">Parameters!$B$24</definedName>
    <definedName function="false" hidden="false" name="StateTaxRate" vbProcedure="false">Parameters!$B$11</definedName>
    <definedName function="false" hidden="false" name="YearlyCashFlowTable" vbProcedure="false">'Yearly Cash Flows'!$A$8:$C$14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<sst xmlns="http://schemas.openxmlformats.org/spreadsheetml/2006/main" count="41" uniqueCount="31">
  <si>
    <t>Chart Bug Explorer</t>
  </si>
  <si>
    <t>CA</t>
  </si>
  <si>
    <t>Yes</t>
  </si>
  <si>
    <t>30% of</t>
  </si>
  <si>
    <t>Month</t>
  </si>
  <si>
    <t>Multiplier</t>
  </si>
  <si>
    <t>Note</t>
  </si>
  <si>
    <t>Fed Dep correct ?</t>
  </si>
  <si>
    <t>Total Cumulative Cash Flow</t>
  </si>
  <si>
    <t>Year</t>
  </si>
  <si>
    <t>Yearly Cash Flow</t>
  </si>
  <si>
    <t>Cumulative Cash Flow</t>
  </si>
  <si>
    <t>end</t>
  </si>
  <si>
    <t>Mobilization Payment to EVSI</t>
  </si>
  <si>
    <t>Solar Tree Delivery Payment to EVSI</t>
  </si>
  <si>
    <t>Solar Tree Complete Payment to EVSI</t>
  </si>
  <si>
    <t>Federal Investment Tax Credit</t>
  </si>
  <si>
    <t>State Investment Tax Credit</t>
  </si>
  <si>
    <t>EV Charger Credit</t>
  </si>
  <si>
    <t>Tax effect of Federal depreciation</t>
  </si>
  <si>
    <t>Tax effect of State depreciation</t>
  </si>
  <si>
    <t>Value of electricity</t>
  </si>
  <si>
    <t>Production Incentive</t>
  </si>
  <si>
    <t>Draw on Ally LOC</t>
  </si>
  <si>
    <t>Principal reduction</t>
  </si>
  <si>
    <t>Interest</t>
  </si>
  <si>
    <t>Ally Balance</t>
  </si>
  <si>
    <t>Interest Payment</t>
  </si>
  <si>
    <t>Principal Payment from inflows</t>
  </si>
  <si>
    <t>Principal Payment Acceleration</t>
  </si>
  <si>
    <t>Cash Flow</t>
  </si>
</sst>
</file>

<file path=xl/styles.xml><?xml version="1.0" encoding="utf-8"?>
<styleSheet xmlns="http://schemas.openxmlformats.org/spreadsheetml/2006/main">
  <numFmts count="13">
    <numFmt formatCode="GENERAL" numFmtId="164"/>
    <numFmt formatCode="MMM\-YY;@" numFmtId="165"/>
    <numFmt formatCode="MMM\-D\-YYYY" numFmtId="166"/>
    <numFmt formatCode="0%" numFmtId="167"/>
    <numFmt formatCode="0.00%" numFmtId="168"/>
    <numFmt formatCode="\$#,##0.000" numFmtId="169"/>
    <numFmt formatCode="\$#,##0.00" numFmtId="170"/>
    <numFmt formatCode="_(* #,##0.00_);_(* \(#,##0.00\);_(* \-??_);_(@_)" numFmtId="171"/>
    <numFmt formatCode="_(* #,##0_);_(* \(#,##0\);_(* \-??_);_(@_)" numFmtId="172"/>
    <numFmt formatCode="_(\$* #,##0_);_(\$* \(#,##0\);_(\$* \-??_);_(@_)" numFmtId="173"/>
    <numFmt formatCode="_(\$* #,##0.00_);_(\$* \(#,##0.00\);_(\$* \-??_);_(@_)" numFmtId="174"/>
    <numFmt formatCode="0.0000" numFmtId="175"/>
    <numFmt formatCode="[$$-409]#,##0;\-[$$-409]#,##0" numFmtId="176"/>
  </numFmts>
  <fonts count="10">
    <font>
      <name val="Calibri"/>
      <charset val="1"/>
      <family val="2"/>
      <color rgb="FF000000"/>
      <sz val="12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sz val="12"/>
    </font>
    <font>
      <name val="Calibri"/>
      <charset val="1"/>
      <family val="2"/>
      <b val="true"/>
      <color rgb="FF000000"/>
      <sz val="12"/>
    </font>
    <font>
      <name val="Calibri"/>
      <family val="2"/>
      <b val="true"/>
      <color rgb="FF000000"/>
      <sz val="13"/>
    </font>
    <font>
      <name val="Arial"/>
      <family val="2"/>
      <sz val="10"/>
    </font>
    <font>
      <name val="Calibri"/>
      <family val="2"/>
      <b val="true"/>
      <color rgb="FF000000"/>
      <sz val="9"/>
    </font>
    <font>
      <name val="Calibri"/>
      <charset val="1"/>
      <family val="2"/>
      <b val="true"/>
      <color rgb="FF000000"/>
      <sz val="18"/>
    </font>
  </fonts>
  <fills count="4">
    <fill>
      <patternFill patternType="none"/>
    </fill>
    <fill>
      <patternFill patternType="gray125"/>
    </fill>
    <fill>
      <patternFill patternType="solid">
        <fgColor rgb="FFFFFF66"/>
        <bgColor rgb="FFFFFF00"/>
      </patternFill>
    </fill>
    <fill>
      <patternFill patternType="solid">
        <fgColor rgb="FF94BD5E"/>
        <bgColor rgb="FFB3B3B3"/>
      </patternFill>
    </fill>
  </fills>
  <borders count="11">
    <border diagonalDown="false" diagonalUp="false">
      <left/>
      <right/>
      <top/>
      <bottom/>
      <diagonal/>
    </border>
    <border diagonalDown="false" diagonalUp="false">
      <left/>
      <right style="hair"/>
      <top/>
      <bottom/>
      <diagonal/>
    </border>
    <border diagonalDown="false" diagonalUp="false">
      <left/>
      <right/>
      <top/>
      <bottom style="hair"/>
      <diagonal/>
    </border>
    <border diagonalDown="false" diagonalUp="false">
      <left/>
      <right style="hair"/>
      <top/>
      <bottom style="hair"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/>
      <right style="hair"/>
      <top style="hair"/>
      <bottom style="hair"/>
      <diagonal/>
    </border>
    <border diagonalDown="false" diagonalUp="false">
      <left style="hair"/>
      <right/>
      <top/>
      <bottom/>
      <diagonal/>
    </border>
    <border diagonalDown="false" diagonalUp="false">
      <left style="hair"/>
      <right/>
      <top/>
      <bottom style="hair"/>
      <diagonal/>
    </border>
    <border diagonalDown="false" diagonalUp="false">
      <left style="hair"/>
      <right style="hair"/>
      <top/>
      <bottom style="hair"/>
      <diagonal/>
    </border>
    <border diagonalDown="false" diagonalUp="false">
      <left style="hair"/>
      <right/>
      <top style="hair"/>
      <bottom/>
      <diagonal/>
    </border>
    <border diagonalDown="false" diagonalUp="false">
      <left/>
      <right/>
      <top style="hair"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true" applyBorder="true" applyFont="true" applyProtection="true" borderId="0" fillId="0" fontId="0" numFmtId="171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7">
      <alignment horizontal="general" indent="0" shrinkToFit="false" textRotation="0" vertical="bottom" wrapText="false"/>
      <protection hidden="false" locked="true"/>
    </xf>
  </cellStyleXfs>
  <cellXfs count="5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2" fontId="0" numFmtId="165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1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2" fontId="0" numFmtId="166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65" xfId="0">
      <alignment horizontal="right" indent="0" shrinkToFit="false" textRotation="0" vertical="top" wrapText="true"/>
      <protection hidden="false" locked="true"/>
    </xf>
    <xf applyAlignment="true" applyBorder="true" applyFont="true" applyProtection="false" borderId="0" fillId="2" fontId="0" numFmtId="164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67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68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69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70" xfId="0">
      <alignment horizontal="right" indent="0" shrinkToFit="false" textRotation="0" vertical="top" wrapText="true"/>
      <protection hidden="false" locked="true"/>
    </xf>
    <xf applyAlignment="true" applyBorder="true" applyFont="true" applyProtection="true" borderId="0" fillId="2" fontId="0" numFmtId="172" xfId="15">
      <alignment horizontal="right" indent="0" shrinkToFit="false" textRotation="0" vertical="top" wrapText="true"/>
      <protection hidden="false" locked="true"/>
    </xf>
    <xf applyAlignment="true" applyBorder="true" applyFont="true" applyProtection="true" borderId="0" fillId="2" fontId="0" numFmtId="168" xfId="19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73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2" fontId="0" numFmtId="164" xfId="0">
      <alignment horizontal="right" indent="0" shrinkToFit="false" textRotation="0" vertical="top" wrapText="true"/>
      <protection hidden="false" locked="true"/>
    </xf>
    <xf applyAlignment="false" applyBorder="true" applyFont="fals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" fillId="0" fontId="0" numFmtId="174" xfId="0">
      <alignment horizontal="general" indent="0" shrinkToFit="false" textRotation="0" vertical="bottom" wrapText="true"/>
      <protection hidden="false" locked="true"/>
    </xf>
    <xf applyAlignment="false" applyBorder="false" applyFont="false" applyProtection="false" borderId="0" fillId="2" fontId="0" numFmtId="17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74" xfId="0">
      <alignment horizontal="general" indent="0" shrinkToFit="false" textRotation="0" vertical="bottom" wrapText="true"/>
      <protection hidden="false" locked="true"/>
    </xf>
    <xf applyAlignment="true" applyBorder="true" applyFont="false" applyProtection="false" borderId="0" fillId="0" fontId="0" numFmtId="173" xfId="0">
      <alignment horizontal="right" indent="0" shrinkToFit="false" textRotation="0" vertical="top" wrapText="true"/>
      <protection hidden="false" locked="true"/>
    </xf>
    <xf applyAlignment="true" applyBorder="true" applyFont="false" applyProtection="false" borderId="0" fillId="0" fontId="0" numFmtId="164" xfId="0">
      <alignment horizontal="right" indent="0" shrinkToFit="false" textRotation="0" vertical="top" wrapText="true"/>
      <protection hidden="false" locked="true"/>
    </xf>
    <xf applyAlignment="false" applyBorder="false" applyFont="false" applyProtection="false" borderId="0" fillId="0" fontId="0" numFmtId="173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7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7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7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3" fillId="0" fontId="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8" fillId="0" fontId="0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3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4" numFmtId="173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3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4" xfId="0">
      <alignment horizontal="right" indent="0" shrinkToFit="false" textRotation="0" vertical="bottom" wrapText="false"/>
      <protection hidden="false" locked="true"/>
    </xf>
    <xf applyAlignment="true" applyBorder="true" applyFont="false" applyProtection="false" borderId="10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2" fillId="0" fontId="0" numFmtId="164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7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0" numFmtId="176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0" numFmtId="173" xfId="0">
      <alignment horizontal="general" indent="0" shrinkToFit="false" textRotation="0" vertical="bottom" wrapText="true"/>
      <protection hidden="false" locked="true"/>
    </xf>
    <xf applyAlignment="false" applyBorder="true" applyFont="false" applyProtection="false" borderId="0" fillId="0" fontId="0" numFmtId="173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73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4BD5E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42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b="1" sz="1300">
                <a:solidFill>
                  <a:srgbClr val="000000"/>
                </a:solidFill>
                <a:latin typeface="Calibri"/>
              </a:rPr>
              <a:t>Chart from cells containing values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'Yearly Cash Flows'!$G$8</c:f>
              <c:strCache>
                <c:ptCount val="1"/>
                <c:pt idx="0">
                  <c:v>Yearly Cash Flow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cat>
            <c:strRef>
              <c:f>'Yearly Cash Flows'!$F$9:$F$14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end</c:v>
                </c:pt>
              </c:strCache>
            </c:strRef>
          </c:cat>
          <c:val>
            <c:numRef>
              <c:f>'Yearly Cash Flows'!$G$9:$G$14</c:f>
              <c:numCache>
                <c:formatCode>General</c:formatCode>
                <c:ptCount val="6"/>
                <c:pt idx="0">
                  <c:v>-2285842.31889449</c:v>
                </c:pt>
                <c:pt idx="1">
                  <c:v>1149905.48352764</c:v>
                </c:pt>
                <c:pt idx="2">
                  <c:v>71970.2726333304</c:v>
                </c:pt>
                <c:pt idx="3">
                  <c:v>62971.1139406323</c:v>
                </c:pt>
                <c:pt idx="4">
                  <c:v>62971.1139406323</c:v>
                </c:pt>
                <c:pt idx="5">
                  <c:v/>
                </c:pt>
              </c:numCache>
            </c:numRef>
          </c:val>
        </c:ser>
        <c:ser>
          <c:idx val="1"/>
          <c:order val="1"/>
          <c:tx>
            <c:strRef>
              <c:f>'Yearly Cash Flows'!$H$8</c:f>
              <c:strCache>
                <c:ptCount val="1"/>
                <c:pt idx="0">
                  <c:v>Cumulative Cash Flow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cat>
            <c:strRef>
              <c:f>'Yearly Cash Flows'!$F$9:$F$14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end</c:v>
                </c:pt>
              </c:strCache>
            </c:strRef>
          </c:cat>
          <c:val>
            <c:numRef>
              <c:f>'Yearly Cash Flows'!$H$9:$H$14</c:f>
              <c:numCache>
                <c:formatCode>General</c:formatCode>
                <c:ptCount val="6"/>
                <c:pt idx="0">
                  <c:v>-22378271.751261</c:v>
                </c:pt>
                <c:pt idx="1">
                  <c:v>-18405071.2062811</c:v>
                </c:pt>
                <c:pt idx="2">
                  <c:v>-13239208.6575007</c:v>
                </c:pt>
                <c:pt idx="3">
                  <c:v>-10358599.3633577</c:v>
                </c:pt>
                <c:pt idx="4">
                  <c:v>-10358599.3633577</c:v>
                </c:pt>
                <c:pt idx="5">
                  <c:v/>
                </c:pt>
              </c:numCache>
            </c:numRef>
          </c:val>
        </c:ser>
        <c:marker val="0"/>
        <c:axId val="60913003"/>
        <c:axId val="67511582"/>
      </c:lineChart>
      <c:catAx>
        <c:axId val="60913003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>
                    <a:solidFill>
                      <a:srgbClr val="000000"/>
                    </a:solidFill>
                    <a:latin typeface="Calibri"/>
                  </a:rPr>
                  <a:t>Years</a:t>
                </a:r>
              </a:p>
            </c:rich>
          </c:tx>
        </c:title>
        <c:delete val="0"/>
        <c:axPos val="b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crossAx val="67511582"/>
        <c:crossesAt val="0"/>
        <c:lblAlgn val="ctr"/>
        <c:auto val="1"/>
        <c:lblOffset val="100"/>
      </c:catAx>
      <c:valAx>
        <c:axId val="67511582"/>
        <c:scaling>
          <c:orientation val="minMax"/>
        </c:scaling>
        <c:delete val="0"/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crossAx val="60913003"/>
        <c:crossesAt val="0"/>
      </c:valAx>
      <c:spPr>
        <a:noFill/>
        <a:ln>
          <a:solidFill>
            <a:srgbClr val="b3b3b3"/>
          </a:solidFill>
        </a:ln>
      </c:spPr>
    </c:plotArea>
    <c:legend>
      <c:legendPos val="t"/>
      <c:spPr>
        <a:noFill/>
      </c:spPr>
    </c:legend>
    <c:plotVisOnly val="1"/>
  </c:chart>
  <c:spPr>
    <a:solidFill>
      <a:srgbClr val="ffffff"/>
    </a:solidFill>
  </c:spPr>
</c:chartSpace>
</file>

<file path=xl/charts/chart43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b="1" sz="1300">
                <a:solidFill>
                  <a:srgbClr val="000000"/>
                </a:solidFill>
                <a:latin typeface="Calibri"/>
              </a:rPr>
              <a:t>Chart from cells containing calculations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'Yearly Cash Flows'!$B$8</c:f>
              <c:strCache>
                <c:ptCount val="1"/>
                <c:pt idx="0">
                  <c:v>Yearly Cash Flow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cat>
            <c:strRef>
              <c:f>'Yearly Cash Flows'!$A$9:$A$14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end</c:v>
                </c:pt>
              </c:strCache>
            </c:strRef>
          </c:cat>
          <c:val>
            <c:numRef>
              <c:f>'Yearly Cash Flows'!$B$9:$B$14</c:f>
              <c:numCache>
                <c:formatCode>General</c:formatCode>
                <c:ptCount val="6"/>
                <c:pt idx="0">
                  <c:v>-2285842.3188945</c:v>
                </c:pt>
                <c:pt idx="1">
                  <c:v>1149905.48352764</c:v>
                </c:pt>
                <c:pt idx="2">
                  <c:v>71970.2726333304</c:v>
                </c:pt>
                <c:pt idx="3">
                  <c:v>71970.2726333304</c:v>
                </c:pt>
                <c:pt idx="4">
                  <c:v>62971.1139406323</c:v>
                </c:pt>
                <c:pt idx="5">
                  <c:v/>
                </c:pt>
              </c:numCache>
            </c:numRef>
          </c:val>
        </c:ser>
        <c:ser>
          <c:idx val="1"/>
          <c:order val="1"/>
          <c:tx>
            <c:strRef>
              <c:f>'Yearly Cash Flows'!$C$8</c:f>
              <c:strCache>
                <c:ptCount val="1"/>
                <c:pt idx="0">
                  <c:v>Cumulative Cash Flow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cat>
            <c:strRef>
              <c:f>'Yearly Cash Flows'!$A$9:$A$14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end</c:v>
                </c:pt>
              </c:strCache>
            </c:strRef>
          </c:cat>
          <c:val>
            <c:numRef>
              <c:f>'Yearly Cash Flows'!$C$9:$C$14</c:f>
              <c:numCache>
                <c:formatCode>General</c:formatCode>
                <c:ptCount val="6"/>
                <c:pt idx="0">
                  <c:v>-22378271.7512611</c:v>
                </c:pt>
                <c:pt idx="1">
                  <c:v>-18405071.2062811</c:v>
                </c:pt>
                <c:pt idx="2">
                  <c:v>-13239208.6575007</c:v>
                </c:pt>
                <c:pt idx="3">
                  <c:v>-13239208.6575007</c:v>
                </c:pt>
                <c:pt idx="4">
                  <c:v>-10358599.3633577</c:v>
                </c:pt>
                <c:pt idx="5">
                  <c:v/>
                </c:pt>
              </c:numCache>
            </c:numRef>
          </c:val>
        </c:ser>
        <c:marker val="0"/>
        <c:axId val="25869723"/>
        <c:axId val="29439010"/>
      </c:lineChart>
      <c:catAx>
        <c:axId val="25869723"/>
        <c:scaling>
          <c:orientation val="minMax"/>
        </c:scaling>
        <c:title>
          <c:layout/>
          <c:tx>
            <c:rich>
              <a:bodyPr/>
              <a:lstStyle/>
              <a:p>
                <a:pPr>
                  <a:defRPr/>
                </a:pPr>
                <a:r>
                  <a:rPr b="1" sz="900">
                    <a:solidFill>
                      <a:srgbClr val="000000"/>
                    </a:solidFill>
                    <a:latin typeface="Calibri"/>
                  </a:rPr>
                  <a:t>Years</a:t>
                </a:r>
              </a:p>
            </c:rich>
          </c:tx>
        </c:title>
        <c:delete val="0"/>
        <c:axPos val="b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crossAx val="29439010"/>
        <c:crossesAt val="0"/>
        <c:lblAlgn val="ctr"/>
        <c:auto val="1"/>
        <c:lblOffset val="100"/>
      </c:catAx>
      <c:valAx>
        <c:axId val="29439010"/>
        <c:scaling>
          <c:orientation val="minMax"/>
        </c:scaling>
        <c:delete val="0"/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majorTickMark val="out"/>
        <c:minorTickMark val="none"/>
        <c:tickLblPos val="nextTo"/>
        <c:spPr>
          <a:ln w="9360">
            <a:solidFill>
              <a:srgbClr val="b3b3b3"/>
            </a:solidFill>
            <a:round/>
          </a:ln>
        </c:spPr>
        <c:crossAx val="25869723"/>
        <c:crossesAt val="0"/>
      </c:valAx>
      <c:spPr>
        <a:noFill/>
        <a:ln>
          <a:solidFill>
            <a:srgbClr val="b3b3b3"/>
          </a:solidFill>
        </a:ln>
      </c:spPr>
    </c:plotArea>
    <c:legend>
      <c:legendPos val="t"/>
      <c:spPr>
        <a:noFill/>
      </c:spPr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42.xml"/><Relationship Id="rId2" Type="http://schemas.openxmlformats.org/officeDocument/2006/relationships/chart" Target="../charts/chart43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1262160</xdr:colOff>
      <xdr:row>0</xdr:row>
      <xdr:rowOff>0</xdr:rowOff>
    </xdr:from>
    <xdr:to>
      <xdr:col>7</xdr:col>
      <xdr:colOff>570960</xdr:colOff>
      <xdr:row>24</xdr:row>
      <xdr:rowOff>34560</xdr:rowOff>
    </xdr:to>
    <xdr:graphicFrame>
      <xdr:nvGraphicFramePr>
        <xdr:cNvPr id="0" name="Chart 1"/>
        <xdr:cNvGraphicFramePr/>
      </xdr:nvGraphicFramePr>
      <xdr:xfrm>
        <a:off x="5650560" y="0"/>
        <a:ext cx="4680720" cy="477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90720</xdr:colOff>
      <xdr:row>0</xdr:row>
      <xdr:rowOff>0</xdr:rowOff>
    </xdr:from>
    <xdr:to>
      <xdr:col>3</xdr:col>
      <xdr:colOff>383040</xdr:colOff>
      <xdr:row>24</xdr:row>
      <xdr:rowOff>34560</xdr:rowOff>
    </xdr:to>
    <xdr:graphicFrame>
      <xdr:nvGraphicFramePr>
        <xdr:cNvPr id="1" name="Chart 1"/>
        <xdr:cNvGraphicFramePr/>
      </xdr:nvGraphicFramePr>
      <xdr:xfrm>
        <a:off x="90720" y="0"/>
        <a:ext cx="4680720" cy="4771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65536"/>
  <sheetViews>
    <sheetView colorId="64" defaultGridColor="true" rightToLeft="false" showFormulas="false" showGridLines="true" showOutlineSymbols="true" showRowColHeaders="true" showZeros="true" tabSelected="false" topLeftCell="A9" view="normal" windowProtection="false" workbookViewId="0" zoomScale="100" zoomScaleNormal="100" zoomScalePageLayoutView="100">
      <selection activeCell="A30" activeCellId="0" pane="topLeft" sqref="A30"/>
    </sheetView>
  </sheetViews>
  <sheetFormatPr defaultRowHeight="14.5"/>
  <cols>
    <col collapsed="false" hidden="false" max="1" min="1" style="0" width="30.2468085106383"/>
    <col collapsed="false" hidden="false" max="2" min="2" style="0" width="26"/>
    <col collapsed="false" hidden="false" max="3" min="3" style="0" width="37.8765957446808"/>
    <col collapsed="false" hidden="false" max="4" min="4" style="0" width="26.3744680851064"/>
    <col collapsed="false" hidden="false" max="5" min="5" style="0" width="13.2468085106383"/>
    <col collapsed="false" hidden="false" max="1025" min="6" style="0" width="9.62127659574468"/>
  </cols>
  <sheetData>
    <row collapsed="false" customFormat="false" customHeight="false" hidden="false" ht="15.75" outlineLevel="0" r="2"/>
    <row collapsed="false" customFormat="false" customHeight="false" hidden="false" ht="14.5" outlineLevel="0" r="4">
      <c r="B4" s="1" t="s">
        <v>0</v>
      </c>
      <c r="C4" s="2"/>
    </row>
    <row collapsed="false" customFormat="false" customHeight="false" hidden="false" ht="14.5" outlineLevel="0" r="5">
      <c r="C5" s="2"/>
    </row>
    <row collapsed="false" customFormat="false" customHeight="false" hidden="false" ht="14.5" outlineLevel="0" r="6">
      <c r="B6" s="1" t="s">
        <v>1</v>
      </c>
      <c r="C6" s="2"/>
    </row>
    <row collapsed="false" customFormat="false" customHeight="false" hidden="false" ht="14.5" outlineLevel="0" r="7">
      <c r="B7" s="3" t="n">
        <v>41487</v>
      </c>
    </row>
    <row collapsed="false" customFormat="false" customHeight="false" hidden="false" ht="14.5" outlineLevel="0" r="8">
      <c r="B8" s="4" t="n">
        <v>41426</v>
      </c>
      <c r="C8" s="2"/>
    </row>
    <row collapsed="false" customFormat="false" customHeight="false" hidden="false" ht="14.5" outlineLevel="0" r="9">
      <c r="B9" s="5" t="s">
        <v>2</v>
      </c>
      <c r="C9" s="2"/>
    </row>
    <row collapsed="false" customFormat="false" customHeight="false" hidden="false" ht="14.5" outlineLevel="0" r="10">
      <c r="B10" s="6" t="n">
        <v>0.35</v>
      </c>
      <c r="C10" s="2"/>
    </row>
    <row collapsed="false" customFormat="false" customHeight="false" hidden="false" ht="14.5" outlineLevel="0" r="11">
      <c r="B11" s="7" t="n">
        <v>0.0675</v>
      </c>
      <c r="C11" s="2"/>
    </row>
    <row collapsed="false" customFormat="false" customHeight="false" hidden="false" ht="14.5" outlineLevel="0" r="12">
      <c r="B12" s="8" t="n">
        <v>0.091</v>
      </c>
      <c r="C12" s="2"/>
    </row>
    <row collapsed="false" customFormat="false" customHeight="false" hidden="false" ht="14.5" outlineLevel="0" r="13">
      <c r="B13" s="9" t="n">
        <v>0</v>
      </c>
      <c r="C13" s="2"/>
    </row>
    <row collapsed="false" customFormat="false" customHeight="false" hidden="false" ht="14.5" outlineLevel="0" r="14">
      <c r="B14" s="10" t="n">
        <v>700000</v>
      </c>
      <c r="C14" s="2"/>
    </row>
    <row collapsed="false" customFormat="false" customHeight="false" hidden="false" ht="14.5" outlineLevel="0" r="15">
      <c r="B15" s="6" t="n">
        <v>0.06</v>
      </c>
      <c r="C15" s="2"/>
    </row>
    <row collapsed="false" customFormat="false" customHeight="false" hidden="false" ht="14.5" outlineLevel="0" r="16">
      <c r="B16" s="11" t="n">
        <f aca="false">0.02/3</f>
        <v>0.00666666666666667</v>
      </c>
      <c r="C16" s="2"/>
    </row>
    <row collapsed="false" customFormat="false" customHeight="false" hidden="false" ht="14.5" outlineLevel="0" r="17">
      <c r="B17" s="7" t="n">
        <v>0.035</v>
      </c>
      <c r="C17" s="2"/>
    </row>
    <row collapsed="false" customFormat="false" customHeight="false" hidden="false" ht="14.5" outlineLevel="0" r="18">
      <c r="B18" s="12" t="n">
        <v>60000</v>
      </c>
      <c r="C18" s="2"/>
    </row>
    <row collapsed="false" customFormat="false" customHeight="false" hidden="false" ht="14.5" outlineLevel="0" r="19">
      <c r="B19" s="13" t="n">
        <v>39</v>
      </c>
      <c r="C19" s="2"/>
    </row>
    <row collapsed="false" customFormat="false" customHeight="false" hidden="false" ht="14.5" outlineLevel="0" r="20">
      <c r="B20" s="12" t="n">
        <v>0</v>
      </c>
      <c r="C20" s="2"/>
    </row>
    <row collapsed="false" customFormat="false" customHeight="false" hidden="false" ht="14.5" outlineLevel="0" r="21">
      <c r="B21" s="13" t="n">
        <v>0</v>
      </c>
      <c r="C21" s="2"/>
    </row>
    <row collapsed="false" customFormat="false" customHeight="false" hidden="false" ht="14.5" outlineLevel="0" r="22">
      <c r="B22" s="12" t="n">
        <v>1000</v>
      </c>
      <c r="C22" s="2"/>
    </row>
    <row collapsed="false" customFormat="false" customHeight="false" hidden="false" ht="14.5" outlineLevel="0" r="23">
      <c r="B23" s="7" t="s">
        <v>3</v>
      </c>
      <c r="C23" s="14"/>
    </row>
    <row collapsed="false" customFormat="false" customHeight="false" hidden="false" ht="14.5" outlineLevel="0" r="24">
      <c r="B24" s="7"/>
      <c r="C24" s="15"/>
    </row>
    <row collapsed="false" customFormat="false" customHeight="false" hidden="false" ht="14.5" outlineLevel="0" r="25">
      <c r="B25" s="7" t="n">
        <v>0.85</v>
      </c>
    </row>
    <row collapsed="false" customFormat="false" customHeight="false" hidden="false" ht="14.5" outlineLevel="0" r="26">
      <c r="B26" s="16" t="n">
        <v>3</v>
      </c>
      <c r="C26" s="2"/>
    </row>
    <row collapsed="false" customFormat="false" customHeight="false" hidden="false" ht="14.5" outlineLevel="0" r="27">
      <c r="B27" s="17" t="n">
        <v>15</v>
      </c>
      <c r="C27" s="18"/>
    </row>
    <row collapsed="false" customFormat="false" customHeight="false" hidden="false" ht="15.75" outlineLevel="0" r="28">
      <c r="A28" s="19"/>
      <c r="B28" s="19"/>
      <c r="C28" s="19"/>
    </row>
    <row collapsed="false" customFormat="false" customHeight="false" hidden="false" ht="15.75" outlineLevel="0" r="29">
      <c r="A29" s="19"/>
      <c r="B29" s="19"/>
      <c r="C29" s="19"/>
    </row>
    <row collapsed="false" customFormat="false" customHeight="false" hidden="false" ht="14.5" outlineLevel="0" r="31">
      <c r="B31" s="20" t="n">
        <f aca="false">SolarGrovePrice-NonSolarValue -(NumEVChargers*PricePerEVCharger)</f>
        <v>2340000</v>
      </c>
    </row>
    <row collapsed="false" customFormat="false" customHeight="false" hidden="false" ht="14.5" outlineLevel="0" r="32">
      <c r="B32" s="21" t="n">
        <f aca="false">NumSolarTrees*SolarTreePrice</f>
        <v>2340000</v>
      </c>
    </row>
    <row collapsed="false" customFormat="false" customHeight="false" hidden="false" ht="14.5" outlineLevel="0" r="33">
      <c r="B33" s="22" t="n">
        <f aca="false">NumSolarTrees*AnnualSolarTreeKWH</f>
        <v>585</v>
      </c>
    </row>
    <row collapsed="false" customFormat="false" customHeight="false" hidden="false" ht="14.5" outlineLevel="0" r="34">
      <c r="B34" s="23" t="n">
        <v>12</v>
      </c>
    </row>
    <row collapsed="false" customFormat="false" customHeight="false" hidden="false" ht="14.5" outlineLevel="0" r="35">
      <c r="B35" s="24"/>
    </row>
    <row collapsed="false" customFormat="false" customHeight="false" hidden="false" ht="14.5" outlineLevel="0" r="36">
      <c r="B36" s="24" t="n">
        <f aca="false">AnnualEnergyCostEscalation/12</f>
        <v>0.005</v>
      </c>
    </row>
    <row collapsed="false" customFormat="false" customHeight="false" hidden="false" ht="14.5" outlineLevel="0" r="37">
      <c r="B37" s="25" t="n">
        <f aca="false">AnnualProductionDegredation/PeriodsInYear</f>
        <v>0.000555555555555556</v>
      </c>
    </row>
    <row collapsed="false" customFormat="false" customHeight="false" hidden="false" ht="14.5" outlineLevel="0" r="38">
      <c r="B38" s="26" t="n">
        <f aca="false">KwhCost*KwhPerYear/PeriodsInYear</f>
        <v>5308.33333333333</v>
      </c>
    </row>
    <row collapsed="false" customFormat="false" customHeight="false" hidden="false" ht="15.75" outlineLevel="0" r="46">
      <c r="A46" s="27" t="s">
        <v>4</v>
      </c>
      <c r="B46" s="28" t="s">
        <v>5</v>
      </c>
    </row>
    <row collapsed="false" customFormat="false" customHeight="false" hidden="false" ht="15.75" outlineLevel="0" r="47">
      <c r="A47" s="29" t="n">
        <v>1</v>
      </c>
      <c r="B47" s="14" t="n">
        <v>0.1</v>
      </c>
    </row>
    <row collapsed="false" customFormat="false" customHeight="false" hidden="false" ht="15.75" outlineLevel="0" r="48">
      <c r="A48" s="29" t="n">
        <v>5</v>
      </c>
      <c r="B48" s="14" t="n">
        <v>0.5</v>
      </c>
    </row>
    <row collapsed="false" customFormat="false" customHeight="false" hidden="false" ht="15.75" outlineLevel="0" r="49">
      <c r="A49" s="29" t="n">
        <v>10</v>
      </c>
      <c r="B49" s="14" t="n">
        <v>0.1</v>
      </c>
    </row>
    <row collapsed="false" customFormat="false" customHeight="false" hidden="false" ht="15.75" outlineLevel="0" r="50">
      <c r="A50" s="29" t="n">
        <v>15</v>
      </c>
      <c r="B50" s="14" t="n">
        <v>0.3</v>
      </c>
    </row>
    <row collapsed="false" customFormat="false" customHeight="false" hidden="false" ht="15.75" outlineLevel="0" r="51">
      <c r="A51" s="30" t="str">
        <f aca="false">REPT("-END OF TABLE-",1)</f>
        <v>-END OF TABLE-</v>
      </c>
      <c r="B51" s="31" t="str">
        <f aca="false">REPT("-END OF TABLE-",1)</f>
        <v>-END OF TABLE-</v>
      </c>
    </row>
    <row collapsed="false" customFormat="false" customHeight="false" hidden="false" ht="15.75" outlineLevel="0" r="52"/>
    <row collapsed="false" customFormat="false" customHeight="false" hidden="false" ht="15.75" outlineLevel="0" r="53"/>
    <row collapsed="false" customFormat="false" customHeight="false" hidden="false" ht="14.5" outlineLevel="0" r="56">
      <c r="E56" s="28" t="s">
        <v>6</v>
      </c>
    </row>
    <row collapsed="false" customFormat="false" customHeight="false" hidden="false" ht="15.75" outlineLevel="0" r="57">
      <c r="A57" s="29" t="n">
        <v>16</v>
      </c>
      <c r="B57" s="0" t="n">
        <v>0.85</v>
      </c>
      <c r="C57" s="0" t="n">
        <v>0.5</v>
      </c>
      <c r="D57" s="0" t="n">
        <v>0.2</v>
      </c>
      <c r="E57" s="14"/>
    </row>
    <row collapsed="false" customFormat="false" customHeight="false" hidden="false" ht="15.75" outlineLevel="0" r="58">
      <c r="A58" s="29" t="n">
        <v>24</v>
      </c>
      <c r="B58" s="0" t="n">
        <v>0.85</v>
      </c>
      <c r="C58" s="32" t="n">
        <v>0.172</v>
      </c>
      <c r="D58" s="0" t="n">
        <v>0.2</v>
      </c>
      <c r="E58" s="14"/>
    </row>
    <row collapsed="false" customFormat="false" customHeight="false" hidden="false" ht="15.75" outlineLevel="0" r="59">
      <c r="A59" s="29" t="n">
        <v>36</v>
      </c>
      <c r="B59" s="0" t="n">
        <v>0.85</v>
      </c>
      <c r="C59" s="0" t="n">
        <v>0.1152</v>
      </c>
      <c r="D59" s="0" t="n">
        <v>0.2</v>
      </c>
      <c r="E59" s="14"/>
    </row>
    <row collapsed="false" customFormat="false" customHeight="false" hidden="false" ht="15.75" outlineLevel="0" r="60">
      <c r="A60" s="29" t="n">
        <v>48</v>
      </c>
      <c r="B60" s="0" t="n">
        <v>0.85</v>
      </c>
      <c r="C60" s="32" t="n">
        <v>0.1152</v>
      </c>
      <c r="D60" s="0" t="n">
        <v>0.2</v>
      </c>
      <c r="E60" s="14"/>
    </row>
    <row collapsed="false" customFormat="false" customHeight="false" hidden="false" ht="15.75" outlineLevel="0" r="61">
      <c r="A61" s="29" t="n">
        <v>60</v>
      </c>
      <c r="B61" s="0" t="n">
        <v>0.85</v>
      </c>
      <c r="C61" s="32" t="n">
        <v>0.0576</v>
      </c>
      <c r="D61" s="0" t="n">
        <v>0.2</v>
      </c>
      <c r="E61" s="14"/>
    </row>
    <row collapsed="false" customFormat="false" customHeight="false" hidden="false" ht="15.75" outlineLevel="0" r="62">
      <c r="A62" s="29" t="n">
        <v>72</v>
      </c>
      <c r="B62" s="0" t="n">
        <v>0.85</v>
      </c>
      <c r="C62" s="0" t="n">
        <v>0.32</v>
      </c>
      <c r="D62" s="0" t="n">
        <v>0.2</v>
      </c>
      <c r="E62" s="14" t="s">
        <v>7</v>
      </c>
    </row>
    <row collapsed="false" customFormat="false" customHeight="false" hidden="false" ht="15.75" outlineLevel="0" r="63">
      <c r="A63" s="30" t="str">
        <f aca="false">REPT("-END OF TABLE-",1)</f>
        <v>-END OF TABLE-</v>
      </c>
      <c r="B63" s="30" t="str">
        <f aca="false">REPT("-END OF TABLE-",1)</f>
        <v>-END OF TABLE-</v>
      </c>
      <c r="C63" s="30" t="str">
        <f aca="false">REPT("-END OF TABLE-",1)</f>
        <v>-END OF TABLE-</v>
      </c>
      <c r="D63" s="30" t="str">
        <f aca="false">REPT("-END OF TABLE-",1)</f>
        <v>-END OF TABLE-</v>
      </c>
      <c r="E63" s="33" t="str">
        <f aca="false">REPT("-END OF TABLE-",1)</f>
        <v>-END OF TABLE-</v>
      </c>
    </row>
    <row collapsed="false" customFormat="false" customHeight="false" hidden="false" ht="15.75" outlineLevel="0" r="1048576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A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18" activeCellId="0" pane="topLeft" sqref="D18"/>
    </sheetView>
  </sheetViews>
  <sheetFormatPr defaultRowHeight="15.75"/>
  <cols>
    <col collapsed="false" hidden="false" max="1" min="1" style="0" width="26"/>
    <col collapsed="false" hidden="false" max="2" min="2" style="0" width="9.62127659574468"/>
    <col collapsed="false" hidden="false" max="3" min="3" style="0" width="16.2510638297872"/>
    <col collapsed="false" hidden="false" max="4" min="4" style="0" width="21.3787234042553"/>
    <col collapsed="false" hidden="false" max="5" min="5" style="0" width="22.8765957446809"/>
    <col collapsed="false" hidden="false" max="1025" min="6" style="0" width="9.62127659574468"/>
  </cols>
  <sheetData>
    <row collapsed="false" customFormat="false" customHeight="false" hidden="false" ht="14.5" outlineLevel="0" r="2"/>
    <row collapsed="false" customFormat="false" customHeight="false" hidden="false" ht="14.5" outlineLevel="0" r="4"/>
    <row collapsed="false" customFormat="false" customHeight="false" hidden="false" ht="14.5" outlineLevel="0" r="9"/>
    <row collapsed="false" customFormat="false" customHeight="false" hidden="false" ht="14.5" outlineLevel="0" r="22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Roman,Regular"&amp;A</oddHeader>
    <oddFooter>&amp;C&amp;"Times New Roman,Regular"Page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65536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2" activeCellId="0" pane="topLeft" sqref="A12"/>
    </sheetView>
  </sheetViews>
  <sheetFormatPr defaultRowHeight="15.75"/>
  <cols>
    <col collapsed="false" hidden="false" max="1" min="1" style="0" width="9.62127659574468"/>
    <col collapsed="false" hidden="false" max="2" min="2" style="0" width="16.7446808510638"/>
    <col collapsed="false" hidden="false" max="3" min="3" style="0" width="19.6297872340426"/>
    <col collapsed="false" hidden="false" max="6" min="4" style="0" width="9.62127659574468"/>
    <col collapsed="false" hidden="false" max="7" min="7" style="0" width="15.6212765957447"/>
    <col collapsed="false" hidden="false" max="8" min="8" style="0" width="17.6170212765957"/>
    <col collapsed="false" hidden="false" max="1025" min="9" style="0" width="9.62127659574468"/>
  </cols>
  <sheetData>
    <row collapsed="false" customFormat="false" customHeight="false" hidden="false" ht="23.25" outlineLevel="0" r="2">
      <c r="B2" s="34" t="str">
        <f aca="false">ProjectName &amp; "Data to chart"</f>
        <v>Chart Bug ExplorerData to chart</v>
      </c>
    </row>
    <row collapsed="false" customFormat="false" customHeight="false" hidden="false" ht="15.75" outlineLevel="0" r="6">
      <c r="A6" s="35" t="s">
        <v>8</v>
      </c>
      <c r="B6" s="36"/>
      <c r="C6" s="37" t="n">
        <f aca="false">INDEX(YearlyCashFlowTable,ROWS(YearlyCashFlowTable)-1,3)</f>
        <v>-10358599.3633577</v>
      </c>
    </row>
    <row collapsed="false" customFormat="false" customHeight="false" hidden="false" ht="14.5" outlineLevel="0" r="8">
      <c r="A8" s="38" t="s">
        <v>9</v>
      </c>
      <c r="B8" s="36" t="s">
        <v>10</v>
      </c>
      <c r="C8" s="36" t="s">
        <v>11</v>
      </c>
      <c r="F8" s="38" t="s">
        <v>9</v>
      </c>
      <c r="G8" s="36" t="s">
        <v>10</v>
      </c>
      <c r="H8" s="36" t="s">
        <v>11</v>
      </c>
    </row>
    <row collapsed="false" customFormat="false" customHeight="false" hidden="false" ht="14.5" outlineLevel="0" r="9">
      <c r="A9" s="36" t="n">
        <v>1</v>
      </c>
      <c r="B9" s="37" t="n">
        <f aca="true">DSUM(MonthlyCashFlowTable,"cash flow",OFFSET(DbYearSelectionCriteriaStart,0,A9-1))</f>
        <v>-2285842.3188945</v>
      </c>
      <c r="C9" s="37" t="n">
        <f aca="true">DSUM(MonthlyCashFlowTable,26,OFFSET(DbYearSelectionCriteriaStart,0,A9-1))</f>
        <v>-22378271.7512611</v>
      </c>
      <c r="F9" s="36" t="n">
        <v>1</v>
      </c>
      <c r="G9" s="37" t="n">
        <v>-2285842.31889449</v>
      </c>
      <c r="H9" s="37" t="n">
        <v>-22378271.751261</v>
      </c>
    </row>
    <row collapsed="false" customFormat="false" customHeight="false" hidden="false" ht="14.5" outlineLevel="0" r="10">
      <c r="A10" s="36" t="n">
        <f aca="false">A9+1</f>
        <v>2</v>
      </c>
      <c r="B10" s="37" t="n">
        <f aca="true">DSUM(MonthlyCashFlowTable,"cash flow",OFFSET(DbYearSelectionCriteriaStart,0,A10-1))</f>
        <v>1149905.48352764</v>
      </c>
      <c r="C10" s="37" t="n">
        <f aca="true">DSUM(MonthlyCashFlowTable,26,OFFSET(DbYearSelectionCriteriaStart,0,A10-1))</f>
        <v>-18405071.2062811</v>
      </c>
      <c r="F10" s="36" t="n">
        <v>2</v>
      </c>
      <c r="G10" s="37" t="n">
        <v>1149905.48352764</v>
      </c>
      <c r="H10" s="37" t="n">
        <v>-18405071.2062811</v>
      </c>
    </row>
    <row collapsed="false" customFormat="false" customHeight="false" hidden="false" ht="14.5" outlineLevel="0" r="11">
      <c r="A11" s="36" t="n">
        <f aca="false">A10+1</f>
        <v>3</v>
      </c>
      <c r="B11" s="37" t="n">
        <f aca="true">DSUM(MonthlyCashFlowTable,"cash flow",OFFSET(DbYearSelectionCriteriaStart,0,A11-1))</f>
        <v>71970.2726333304</v>
      </c>
      <c r="C11" s="37" t="n">
        <f aca="true">DSUM(MonthlyCashFlowTable,26,OFFSET(DbYearSelectionCriteriaStart,0,A11-1))</f>
        <v>-13239208.6575007</v>
      </c>
      <c r="F11" s="36" t="n">
        <v>3</v>
      </c>
      <c r="G11" s="37" t="n">
        <v>71970.2726333304</v>
      </c>
      <c r="H11" s="37" t="n">
        <v>-13239208.6575007</v>
      </c>
    </row>
    <row collapsed="false" customFormat="false" customHeight="false" hidden="false" ht="14.5" outlineLevel="0" r="12">
      <c r="A12" s="36" t="n">
        <f aca="false">A10+1</f>
        <v>3</v>
      </c>
      <c r="B12" s="37" t="n">
        <f aca="true">DSUM(MonthlyCashFlowTable,"cash flow",OFFSET(DbYearSelectionCriteriaStart,0,A12-1))</f>
        <v>71970.2726333304</v>
      </c>
      <c r="C12" s="37" t="n">
        <f aca="true">DSUM(MonthlyCashFlowTable,26,OFFSET(DbYearSelectionCriteriaStart,0,A12-1))</f>
        <v>-13239208.6575007</v>
      </c>
      <c r="F12" s="36" t="n">
        <v>4</v>
      </c>
      <c r="G12" s="37" t="n">
        <v>62971.1139406323</v>
      </c>
      <c r="H12" s="37" t="n">
        <v>-10358599.3633577</v>
      </c>
    </row>
    <row collapsed="false" customFormat="false" customHeight="false" hidden="false" ht="14.5" outlineLevel="0" r="13">
      <c r="A13" s="36" t="n">
        <f aca="false">A11+1</f>
        <v>4</v>
      </c>
      <c r="B13" s="37" t="n">
        <f aca="true">DSUM(MonthlyCashFlowTable,"cash flow",OFFSET(DbYearSelectionCriteriaStart,0,A13-1))</f>
        <v>62971.1139406323</v>
      </c>
      <c r="C13" s="37" t="n">
        <f aca="true">DSUM(MonthlyCashFlowTable,26,OFFSET(DbYearSelectionCriteriaStart,0,A13-1))</f>
        <v>-10358599.3633577</v>
      </c>
      <c r="F13" s="36" t="n">
        <v>4</v>
      </c>
      <c r="G13" s="37" t="n">
        <v>62971.1139406323</v>
      </c>
      <c r="H13" s="37" t="n">
        <v>-10358599.3633577</v>
      </c>
    </row>
    <row collapsed="false" customFormat="false" customHeight="false" hidden="false" ht="14.5" outlineLevel="0" r="14">
      <c r="A14" s="36" t="str">
        <f aca="false">REPT("end",1)</f>
        <v>end</v>
      </c>
      <c r="B14" s="36" t="str">
        <f aca="false">REPT("end",1)</f>
        <v>end</v>
      </c>
      <c r="C14" s="36" t="str">
        <f aca="false">REPT("end",1)</f>
        <v>end</v>
      </c>
      <c r="F14" s="36" t="s">
        <v>12</v>
      </c>
      <c r="G14" s="36" t="s">
        <v>12</v>
      </c>
      <c r="H14" s="36" t="s">
        <v>12</v>
      </c>
    </row>
    <row collapsed="false" customFormat="false" customHeight="false" hidden="false" ht="14.5" outlineLevel="0" r="19">
      <c r="A19" s="39" t="s">
        <v>9</v>
      </c>
      <c r="B19" s="40" t="str">
        <f aca="false">A19</f>
        <v>Year</v>
      </c>
      <c r="C19" s="40" t="str">
        <f aca="false">B19</f>
        <v>Year</v>
      </c>
      <c r="D19" s="40" t="str">
        <f aca="false">C19</f>
        <v>Year</v>
      </c>
      <c r="E19" s="40" t="str">
        <f aca="false">D19</f>
        <v>Year</v>
      </c>
    </row>
    <row collapsed="false" customFormat="false" customHeight="false" hidden="false" ht="14.5" outlineLevel="0" r="20">
      <c r="A20" s="41" t="n">
        <v>1</v>
      </c>
      <c r="B20" s="42" t="n">
        <f aca="false">A20+1</f>
        <v>2</v>
      </c>
      <c r="C20" s="42" t="n">
        <f aca="false">B20+1</f>
        <v>3</v>
      </c>
      <c r="D20" s="42" t="n">
        <f aca="false">C20+1</f>
        <v>4</v>
      </c>
      <c r="E20" s="42" t="n">
        <f aca="false">D20+1</f>
        <v>5</v>
      </c>
    </row>
    <row collapsed="false" customFormat="false" customHeight="false" hidden="false" ht="12.8" outlineLevel="0" r="1048552"/>
    <row collapsed="false" customFormat="false" customHeight="false" hidden="false" ht="12.8" outlineLevel="0" r="1048553"/>
    <row collapsed="false" customFormat="false" customHeight="false" hidden="false" ht="12.8" outlineLevel="0" r="1048554"/>
    <row collapsed="false" customFormat="false" customHeight="false" hidden="false" ht="12.8" outlineLevel="0" r="1048555"/>
    <row collapsed="false" customFormat="false" customHeight="false" hidden="false" ht="12.8" outlineLevel="0" r="1048556"/>
    <row collapsed="false" customFormat="false" customHeight="false" hidden="false" ht="12.8" outlineLevel="0" r="1048557"/>
    <row collapsed="false" customFormat="false" customHeight="false" hidden="false" ht="12.8" outlineLevel="0" r="1048558"/>
    <row collapsed="false" customFormat="false" customHeight="false" hidden="false" ht="12.8" outlineLevel="0" r="1048559"/>
    <row collapsed="false" customFormat="false" customHeight="false" hidden="false" ht="12.8" outlineLevel="0" r="1048560"/>
    <row collapsed="false" customFormat="false" customHeight="false" hidden="false" ht="12.8" outlineLevel="0" r="1048561"/>
    <row collapsed="false" customFormat="false" customHeight="false" hidden="false" ht="12.8" outlineLevel="0" r="1048562"/>
    <row collapsed="false" customFormat="false" customHeight="false" hidden="false" ht="12.8" outlineLevel="0" r="1048563"/>
    <row collapsed="false" customFormat="false" customHeight="false" hidden="false" ht="12.8" outlineLevel="0" r="1048564"/>
    <row collapsed="false" customFormat="false" customHeight="false" hidden="false" ht="12.8" outlineLevel="0" r="1048565"/>
    <row collapsed="false" customFormat="false" customHeight="false" hidden="false" ht="12.8" outlineLevel="0" r="1048566"/>
    <row collapsed="false" customFormat="false" customHeight="false" hidden="false" ht="12.8" outlineLevel="0" r="1048567"/>
    <row collapsed="false" customFormat="false" customHeight="false" hidden="false" ht="12.8" outlineLevel="0" r="1048568"/>
    <row collapsed="false" customFormat="false" customHeight="false" hidden="false" ht="12.8" outlineLevel="0" r="1048569"/>
    <row collapsed="false" customFormat="false" customHeight="false" hidden="false" ht="12.8" outlineLevel="0" r="1048570"/>
    <row collapsed="false" customFormat="false" customHeight="false" hidden="false" ht="12.8" outlineLevel="0" r="1048571"/>
    <row collapsed="false" customFormat="false" customHeight="false" hidden="false" ht="12.8" outlineLevel="0" r="1048572"/>
    <row collapsed="false" customFormat="false" customHeight="false" hidden="false" ht="12.8" outlineLevel="0" r="1048573"/>
    <row collapsed="false" customFormat="false" customHeight="false" hidden="false" ht="12.8" outlineLevel="0" r="1048574"/>
    <row collapsed="false" customFormat="false" customHeight="false" hidden="false" ht="12.8" outlineLevel="0" r="1048575"/>
    <row collapsed="false" customFormat="false" customHeight="false" hidden="false" ht="12.8" outlineLevel="0" r="1048576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A48"/>
  <sheetViews>
    <sheetView colorId="64" defaultGridColor="true" rightToLeft="false" showFormulas="false" showGridLines="true" showOutlineSymbols="true" showRowColHeaders="true" showZeros="true" tabSelected="false" topLeftCell="A36" view="normal" windowProtection="false" workbookViewId="0" zoomScale="100" zoomScaleNormal="100" zoomScalePageLayoutView="100">
      <pane activePane="topLeft" state="split" topLeftCell="Z354" xSplit="0" ySplit="5158"/>
      <selection activeCell="A48" activeCellId="0" pane="topLeft" sqref="A48"/>
      <selection activeCell="A354" activeCellId="0" pane="bottomLeft" sqref="A354"/>
    </sheetView>
  </sheetViews>
  <sheetFormatPr defaultRowHeight="12.8"/>
  <cols>
    <col collapsed="false" hidden="false" max="2" min="1" style="0" width="7.49787234042553"/>
    <col collapsed="false" hidden="false" max="3" min="3" style="0" width="12.5063829787234"/>
    <col collapsed="false" hidden="false" max="4" min="4" style="0" width="11.4978723404255"/>
    <col collapsed="false" hidden="false" max="5" min="5" style="0" width="11.7446808510638"/>
    <col collapsed="false" hidden="false" max="6" min="6" style="0" width="4.2468085106383"/>
    <col collapsed="false" hidden="false" max="7" min="7" style="0" width="10.1234042553192"/>
    <col collapsed="false" hidden="false" max="8" min="8" style="0" width="12.1234042553192"/>
    <col collapsed="false" hidden="false" max="9" min="9" style="0" width="8.62553191489362"/>
    <col collapsed="false" hidden="false" max="11" min="10" style="0" width="12.1234042553192"/>
    <col collapsed="false" hidden="false" max="12" min="12" style="0" width="10.6297872340426"/>
    <col collapsed="false" hidden="false" max="13" min="13" style="0" width="12.1234042553192"/>
    <col collapsed="false" hidden="false" max="14" min="14" style="0" width="4.62553191489362"/>
    <col collapsed="false" hidden="false" max="15" min="15" style="0" width="3.00425531914894"/>
    <col collapsed="false" hidden="false" max="16" min="16" style="43" width="11.6255319148936"/>
    <col collapsed="false" hidden="false" max="17" min="17" style="0" width="8.60851063829787"/>
    <col collapsed="false" hidden="false" max="18" min="18" style="0" width="7.12340425531915"/>
    <col collapsed="false" hidden="false" max="19" min="19" style="0" width="12.1234042553192"/>
    <col collapsed="false" hidden="false" max="20" min="20" style="0" width="3.37872340425532"/>
    <col collapsed="false" hidden="false" max="23" min="21" style="0" width="12.1234042553192"/>
    <col collapsed="false" hidden="false" max="24" min="24" style="0" width="3.5063829787234"/>
    <col collapsed="false" hidden="false" max="27" min="25" style="23" width="12.1234042553192"/>
    <col collapsed="false" hidden="false" max="29" min="28" style="0" width="12.1234042553192"/>
    <col collapsed="false" hidden="false" max="30" min="30" style="0" width="11.4978723404255"/>
    <col collapsed="false" hidden="false" max="31" min="31" style="0" width="9.87659574468085"/>
    <col collapsed="false" hidden="false" max="35" min="32" style="0" width="11.4978723404255"/>
    <col collapsed="false" hidden="false" max="36" min="36" style="0" width="10.6297872340426"/>
    <col collapsed="false" hidden="false" max="56" min="37" style="0" width="9.87659574468085"/>
    <col collapsed="false" hidden="false" max="57" min="57" style="0" width="1.87659574468085"/>
    <col collapsed="false" hidden="false" max="58" min="58" style="0" width="9.87659574468085"/>
    <col collapsed="false" hidden="false" max="59" min="59" style="0" width="1.87659574468085"/>
    <col collapsed="false" hidden="false" max="71" min="60" style="0" width="9.87659574468085"/>
    <col collapsed="false" hidden="false" max="72" min="72" style="0" width="1.87659574468085"/>
    <col collapsed="false" hidden="false" max="73" min="73" style="0" width="9.87659574468085"/>
    <col collapsed="false" hidden="false" max="74" min="74" style="0" width="1.87659574468085"/>
    <col collapsed="false" hidden="false" max="86" min="75" style="0" width="9.87659574468085"/>
    <col collapsed="false" hidden="false" max="87" min="87" style="0" width="1.87659574468085"/>
    <col collapsed="false" hidden="false" max="88" min="88" style="0" width="9.87659574468085"/>
    <col collapsed="false" hidden="false" max="89" min="89" style="0" width="1.87659574468085"/>
    <col collapsed="false" hidden="false" max="101" min="90" style="0" width="9.87659574468085"/>
    <col collapsed="false" hidden="false" max="102" min="102" style="0" width="1.87659574468085"/>
    <col collapsed="false" hidden="false" max="103" min="103" style="0" width="9.87659574468085"/>
    <col collapsed="false" hidden="false" max="104" min="104" style="0" width="1.87659574468085"/>
    <col collapsed="false" hidden="false" max="116" min="105" style="0" width="9.87659574468085"/>
    <col collapsed="false" hidden="false" max="117" min="117" style="0" width="1.87659574468085"/>
    <col collapsed="false" hidden="false" max="118" min="118" style="0" width="9.87659574468085"/>
    <col collapsed="false" hidden="false" max="119" min="119" style="0" width="1.87659574468085"/>
    <col collapsed="false" hidden="false" max="131" min="120" style="0" width="9.87659574468085"/>
    <col collapsed="false" hidden="false" max="132" min="132" style="0" width="1.87659574468085"/>
    <col collapsed="false" hidden="false" max="133" min="133" style="0" width="9.87659574468085"/>
    <col collapsed="false" hidden="false" max="134" min="134" style="0" width="1.87659574468085"/>
    <col collapsed="false" hidden="false" max="146" min="135" style="0" width="9.87659574468085"/>
    <col collapsed="false" hidden="false" max="147" min="147" style="0" width="1.87659574468085"/>
    <col collapsed="false" hidden="false" max="148" min="148" style="0" width="9.87659574468085"/>
    <col collapsed="false" hidden="false" max="149" min="149" style="0" width="1.87659574468085"/>
    <col collapsed="false" hidden="false" max="161" min="150" style="0" width="9.87659574468085"/>
    <col collapsed="false" hidden="false" max="162" min="162" style="0" width="1.87659574468085"/>
    <col collapsed="false" hidden="false" max="163" min="163" style="0" width="9.87659574468085"/>
    <col collapsed="false" hidden="false" max="164" min="164" style="0" width="1.87659574468085"/>
    <col collapsed="false" hidden="false" max="176" min="165" style="0" width="9.87659574468085"/>
    <col collapsed="false" hidden="false" max="177" min="177" style="0" width="1.87659574468085"/>
    <col collapsed="false" hidden="false" max="178" min="178" style="0" width="9.87659574468085"/>
    <col collapsed="false" hidden="false" max="179" min="179" style="0" width="1.87659574468085"/>
    <col collapsed="false" hidden="false" max="191" min="180" style="0" width="9.87659574468085"/>
    <col collapsed="false" hidden="false" max="192" min="192" style="0" width="1.87659574468085"/>
    <col collapsed="false" hidden="false" max="193" min="193" style="0" width="9.87659574468085"/>
    <col collapsed="false" hidden="false" max="194" min="194" style="0" width="1.87659574468085"/>
    <col collapsed="false" hidden="false" max="206" min="195" style="0" width="9.87659574468085"/>
    <col collapsed="false" hidden="false" max="207" min="207" style="0" width="1.87659574468085"/>
    <col collapsed="false" hidden="false" max="208" min="208" style="0" width="9.87659574468085"/>
    <col collapsed="false" hidden="false" max="209" min="209" style="0" width="1.87659574468085"/>
    <col collapsed="false" hidden="false" max="221" min="210" style="0" width="9.87659574468085"/>
    <col collapsed="false" hidden="false" max="222" min="222" style="0" width="1.87659574468085"/>
    <col collapsed="false" hidden="false" max="223" min="223" style="0" width="9.87659574468085"/>
    <col collapsed="false" hidden="false" max="224" min="224" style="0" width="1.87659574468085"/>
    <col collapsed="false" hidden="false" max="236" min="225" style="0" width="9.87659574468085"/>
    <col collapsed="false" hidden="false" max="237" min="237" style="0" width="1.87659574468085"/>
    <col collapsed="false" hidden="false" max="238" min="238" style="0" width="9.87659574468085"/>
    <col collapsed="false" hidden="false" max="239" min="239" style="0" width="1.87659574468085"/>
    <col collapsed="false" hidden="false" max="250" min="240" style="0" width="9.87659574468085"/>
    <col collapsed="false" hidden="false" max="251" min="251" style="0" width="10.5021276595745"/>
    <col collapsed="false" hidden="false" max="252" min="252" style="0" width="1.87659574468085"/>
    <col collapsed="false" hidden="false" max="253" min="253" style="0" width="10.5021276595745"/>
    <col collapsed="false" hidden="false" max="254" min="254" style="0" width="1.87659574468085"/>
    <col collapsed="false" hidden="false" max="266" min="255" style="0" width="10.5021276595745"/>
    <col collapsed="false" hidden="false" max="267" min="267" style="0" width="1.87659574468085"/>
    <col collapsed="false" hidden="false" max="268" min="268" style="0" width="10.5021276595745"/>
    <col collapsed="false" hidden="false" max="269" min="269" style="0" width="1.87659574468085"/>
    <col collapsed="false" hidden="false" max="281" min="270" style="0" width="10.5021276595745"/>
    <col collapsed="false" hidden="false" max="282" min="282" style="0" width="1.87659574468085"/>
    <col collapsed="false" hidden="false" max="283" min="283" style="0" width="10.5021276595745"/>
    <col collapsed="false" hidden="false" max="284" min="284" style="0" width="1.87659574468085"/>
    <col collapsed="false" hidden="false" max="296" min="285" style="0" width="10.5021276595745"/>
    <col collapsed="false" hidden="false" max="297" min="297" style="0" width="1.87659574468085"/>
    <col collapsed="false" hidden="false" max="298" min="298" style="0" width="10.5021276595745"/>
    <col collapsed="false" hidden="false" max="299" min="299" style="0" width="1.87659574468085"/>
    <col collapsed="false" hidden="false" max="311" min="300" style="0" width="10.5021276595745"/>
    <col collapsed="false" hidden="false" max="312" min="312" style="0" width="1.87659574468085"/>
    <col collapsed="false" hidden="false" max="313" min="313" style="0" width="10.5021276595745"/>
    <col collapsed="false" hidden="false" max="314" min="314" style="0" width="1.87659574468085"/>
    <col collapsed="false" hidden="false" max="326" min="315" style="0" width="10.5021276595745"/>
    <col collapsed="false" hidden="false" max="327" min="327" style="0" width="1.87659574468085"/>
    <col collapsed="false" hidden="false" max="328" min="328" style="0" width="10.5021276595745"/>
    <col collapsed="false" hidden="false" max="329" min="329" style="0" width="1.87659574468085"/>
    <col collapsed="false" hidden="false" max="341" min="330" style="0" width="10.5021276595745"/>
    <col collapsed="false" hidden="false" max="342" min="342" style="0" width="1.87659574468085"/>
    <col collapsed="false" hidden="false" max="343" min="343" style="0" width="10.5021276595745"/>
    <col collapsed="false" hidden="false" max="344" min="344" style="0" width="1.87659574468085"/>
    <col collapsed="false" hidden="false" max="1025" min="345" style="0" width="10.5021276595745"/>
  </cols>
  <sheetData>
    <row collapsed="false" customFormat="false" customHeight="false" hidden="false" ht="63" outlineLevel="0" r="1">
      <c r="A1" s="0" t="s">
        <v>9</v>
      </c>
      <c r="B1" s="0" t="s">
        <v>4</v>
      </c>
      <c r="C1" s="44" t="s">
        <v>13</v>
      </c>
      <c r="D1" s="44" t="s">
        <v>14</v>
      </c>
      <c r="E1" s="44" t="s">
        <v>15</v>
      </c>
      <c r="F1" s="44"/>
      <c r="G1" s="44" t="s">
        <v>16</v>
      </c>
      <c r="H1" s="44" t="s">
        <v>17</v>
      </c>
      <c r="I1" s="44" t="s">
        <v>18</v>
      </c>
      <c r="J1" s="44" t="s">
        <v>19</v>
      </c>
      <c r="K1" s="44" t="s">
        <v>20</v>
      </c>
      <c r="L1" s="44" t="s">
        <v>21</v>
      </c>
      <c r="M1" s="44" t="s">
        <v>22</v>
      </c>
      <c r="N1" s="44"/>
      <c r="O1" s="44"/>
      <c r="P1" s="45" t="s">
        <v>23</v>
      </c>
      <c r="Q1" s="44" t="s">
        <v>24</v>
      </c>
      <c r="R1" s="44" t="s">
        <v>25</v>
      </c>
      <c r="S1" s="44" t="s">
        <v>26</v>
      </c>
      <c r="T1" s="44"/>
      <c r="U1" s="44" t="s">
        <v>27</v>
      </c>
      <c r="V1" s="44" t="s">
        <v>28</v>
      </c>
      <c r="W1" s="44" t="s">
        <v>29</v>
      </c>
      <c r="X1" s="44"/>
      <c r="Y1" s="19" t="s">
        <v>30</v>
      </c>
      <c r="Z1" s="19" t="s">
        <v>11</v>
      </c>
      <c r="AA1" s="46" t="s">
        <v>8</v>
      </c>
    </row>
    <row collapsed="false" customFormat="false" customHeight="false" hidden="false" ht="15.75" outlineLevel="0" r="2">
      <c r="A2" s="0" t="n">
        <v>1</v>
      </c>
      <c r="B2" s="0" t="n">
        <v>1</v>
      </c>
      <c r="C2" s="47" t="n">
        <f aca="false">-(SolarGrovePrice/NumPayments)</f>
        <v>-780000</v>
      </c>
      <c r="Y2" s="23" t="n">
        <f aca="false">SUM(C2:P2)</f>
        <v>-780000</v>
      </c>
    </row>
    <row collapsed="false" customFormat="false" customHeight="false" hidden="false" ht="15.75" outlineLevel="0" r="3">
      <c r="A3" s="0" t="n">
        <v>1</v>
      </c>
      <c r="B3" s="0" t="n">
        <f aca="false">B2+1</f>
        <v>2</v>
      </c>
      <c r="Y3" s="23" t="n">
        <f aca="false">SUM(C3:P3)</f>
        <v>0</v>
      </c>
      <c r="Z3" s="23" t="n">
        <f aca="false">Z2+Y2</f>
        <v>-780000</v>
      </c>
    </row>
    <row collapsed="false" customFormat="false" customHeight="false" hidden="false" ht="15.75" outlineLevel="0" r="4">
      <c r="A4" s="0" t="n">
        <v>1</v>
      </c>
      <c r="B4" s="0" t="n">
        <f aca="false">B3+1</f>
        <v>3</v>
      </c>
      <c r="D4" s="47" t="n">
        <f aca="false">-(SolarGrovePrice/NumPayments)</f>
        <v>-780000</v>
      </c>
      <c r="E4" s="47" t="n">
        <f aca="false">-(SolarGrovePrice/NumPayments)</f>
        <v>-780000</v>
      </c>
      <c r="L4" s="47" t="inlineStr">
        <f aca="false">MonKwhCost</f>
        <is>
          <t/>
        </is>
      </c>
      <c r="M4" s="47" t="n">
        <f aca="false">KwhProductionIncentive * KwhPerYear / MonthsInYear</f>
        <v>0</v>
      </c>
      <c r="Y4" s="23" t="n">
        <f aca="false">SUM(C4:P4)</f>
        <v>-1554691.66666667</v>
      </c>
      <c r="Z4" s="23" t="n">
        <f aca="false">Z3+Y3</f>
        <v>-780000</v>
      </c>
    </row>
    <row collapsed="false" customFormat="false" customHeight="false" hidden="false" ht="15.75" outlineLevel="0" r="5">
      <c r="A5" s="0" t="n">
        <v>1</v>
      </c>
      <c r="B5" s="0" t="n">
        <f aca="false">B4+1</f>
        <v>4</v>
      </c>
      <c r="L5" s="47" t="n">
        <f aca="false">L4 + L4*(MonEnergyCostEscalation-MonProductionDegredation)</f>
        <v>5331.92592592593</v>
      </c>
      <c r="M5" s="47" t="n">
        <f aca="false">M4 + M4*(MonEnergyCostEscalation-MonProductionDegredation)</f>
        <v>0</v>
      </c>
      <c r="Y5" s="23" t="n">
        <f aca="false">SUM(C5:P5)</f>
        <v>5331.92592592593</v>
      </c>
      <c r="Z5" s="23" t="n">
        <f aca="false">Z4+Y4</f>
        <v>-2334691.66666667</v>
      </c>
    </row>
    <row collapsed="false" customFormat="false" customHeight="false" hidden="false" ht="15.75" outlineLevel="0" r="6">
      <c r="A6" s="0" t="n">
        <v>1</v>
      </c>
      <c r="B6" s="0" t="n">
        <f aca="false">B5+1</f>
        <v>5</v>
      </c>
      <c r="L6" s="47" t="n">
        <f aca="false">L5 + L5*(MonEnergyCostEscalation-MonProductionDegredation)</f>
        <v>5355.6233744856</v>
      </c>
      <c r="M6" s="47" t="n">
        <f aca="false">M5 + M5*(MonEnergyCostEscalation-MonProductionDegredation)</f>
        <v>0</v>
      </c>
      <c r="Y6" s="23" t="n">
        <f aca="false">SUM(C6:P6)</f>
        <v>5355.6233744856</v>
      </c>
      <c r="Z6" s="23" t="n">
        <f aca="false">Z5+Y5</f>
        <v>-2329359.74074074</v>
      </c>
    </row>
    <row collapsed="false" customFormat="false" customHeight="false" hidden="false" ht="15.75" outlineLevel="0" r="7">
      <c r="A7" s="0" t="n">
        <v>1</v>
      </c>
      <c r="B7" s="0" t="n">
        <f aca="false">B6+1</f>
        <v>6</v>
      </c>
      <c r="L7" s="47" t="n">
        <f aca="false">L6 + L6*(MonEnergyCostEscalation-MonProductionDegredation)</f>
        <v>5379.42614503887</v>
      </c>
      <c r="M7" s="47" t="n">
        <f aca="false">M6 + M6*(MonEnergyCostEscalation-MonProductionDegredation)</f>
        <v>0</v>
      </c>
      <c r="Y7" s="23" t="n">
        <f aca="false">SUM(C7:P7)</f>
        <v>5379.42614503887</v>
      </c>
      <c r="Z7" s="23" t="n">
        <f aca="false">Z6+Y6</f>
        <v>-2324004.11736626</v>
      </c>
    </row>
    <row collapsed="false" customFormat="false" customHeight="false" hidden="false" ht="15.75" outlineLevel="0" r="8">
      <c r="A8" s="0" t="n">
        <v>1</v>
      </c>
      <c r="B8" s="0" t="n">
        <f aca="false">B7+1</f>
        <v>7</v>
      </c>
      <c r="L8" s="47" t="n">
        <f aca="false">L7 + L7*(MonEnergyCostEscalation-MonProductionDegredation)</f>
        <v>5403.33470568348</v>
      </c>
      <c r="M8" s="47" t="n">
        <f aca="false">M7 + M7*(MonEnergyCostEscalation-MonProductionDegredation)</f>
        <v>0</v>
      </c>
      <c r="Y8" s="23" t="n">
        <f aca="false">SUM(C8:P8)</f>
        <v>5403.33470568348</v>
      </c>
      <c r="Z8" s="23" t="n">
        <f aca="false">Z7+Y7</f>
        <v>-2318624.69122122</v>
      </c>
    </row>
    <row collapsed="false" customFormat="false" customHeight="false" hidden="false" ht="15.75" outlineLevel="0" r="9">
      <c r="A9" s="0" t="n">
        <v>1</v>
      </c>
      <c r="B9" s="0" t="n">
        <f aca="false">B8+1</f>
        <v>8</v>
      </c>
      <c r="L9" s="47" t="n">
        <f aca="false">L8 + L8*(MonEnergyCostEscalation-MonProductionDegredation)</f>
        <v>5427.34952659763</v>
      </c>
      <c r="M9" s="47" t="n">
        <f aca="false">M8 + M8*(MonEnergyCostEscalation-MonProductionDegredation)</f>
        <v>0</v>
      </c>
      <c r="Y9" s="23" t="n">
        <f aca="false">SUM(C9:P9)</f>
        <v>5427.34952659763</v>
      </c>
      <c r="Z9" s="23" t="n">
        <f aca="false">Z8+Y8</f>
        <v>-2313221.35651553</v>
      </c>
    </row>
    <row collapsed="false" customFormat="false" customHeight="false" hidden="false" ht="15.75" outlineLevel="0" r="10">
      <c r="A10" s="0" t="n">
        <v>1</v>
      </c>
      <c r="B10" s="0" t="n">
        <f aca="false">B9+1</f>
        <v>9</v>
      </c>
      <c r="L10" s="47" t="n">
        <f aca="false">L9 + L9*(MonEnergyCostEscalation-MonProductionDegredation)</f>
        <v>5451.47108004918</v>
      </c>
      <c r="M10" s="47" t="n">
        <f aca="false">M9 + M9*(MonEnergyCostEscalation-MonProductionDegredation)</f>
        <v>0</v>
      </c>
      <c r="Y10" s="23" t="n">
        <f aca="false">SUM(C10:P10)</f>
        <v>5451.47108004918</v>
      </c>
      <c r="Z10" s="23" t="n">
        <f aca="false">Z9+Y9</f>
        <v>-2307794.00698893</v>
      </c>
    </row>
    <row collapsed="false" customFormat="false" customHeight="false" hidden="false" ht="15.75" outlineLevel="0" r="11">
      <c r="A11" s="0" t="n">
        <v>1</v>
      </c>
      <c r="B11" s="0" t="n">
        <f aca="false">B10+1</f>
        <v>10</v>
      </c>
      <c r="L11" s="47" t="n">
        <f aca="false">L10 + L10*(MonEnergyCostEscalation-MonProductionDegredation)</f>
        <v>5475.69984040495</v>
      </c>
      <c r="M11" s="47" t="n">
        <f aca="false">M10 + M10*(MonEnergyCostEscalation-MonProductionDegredation)</f>
        <v>0</v>
      </c>
      <c r="Y11" s="23" t="n">
        <f aca="false">SUM(C11:P11)</f>
        <v>5475.69984040495</v>
      </c>
      <c r="Z11" s="23" t="n">
        <f aca="false">Z10+Y10</f>
        <v>-2302342.53590889</v>
      </c>
    </row>
    <row collapsed="false" customFormat="false" customHeight="false" hidden="false" ht="15.75" outlineLevel="0" r="12">
      <c r="A12" s="0" t="n">
        <v>1</v>
      </c>
      <c r="B12" s="0" t="n">
        <f aca="false">B11+1</f>
        <v>11</v>
      </c>
      <c r="L12" s="47" t="n">
        <f aca="false">L11 + L11*(MonEnergyCostEscalation-MonProductionDegredation)</f>
        <v>5500.03628414008</v>
      </c>
      <c r="M12" s="47" t="n">
        <f aca="false">M11 + M11*(MonEnergyCostEscalation-MonProductionDegredation)</f>
        <v>0</v>
      </c>
      <c r="Y12" s="23" t="n">
        <f aca="false">SUM(C12:P12)</f>
        <v>5500.03628414008</v>
      </c>
      <c r="Z12" s="23" t="n">
        <f aca="false">Z11+Y11</f>
        <v>-2296866.83606848</v>
      </c>
    </row>
    <row collapsed="false" customFormat="false" customHeight="false" hidden="false" ht="15.75" outlineLevel="0" r="13">
      <c r="A13" s="0" t="n">
        <v>1</v>
      </c>
      <c r="B13" s="0" t="n">
        <f aca="false">B12+1</f>
        <v>12</v>
      </c>
      <c r="L13" s="47" t="n">
        <f aca="false">L12 + L12*(MonEnergyCostEscalation-MonProductionDegredation)</f>
        <v>5524.48088984737</v>
      </c>
      <c r="M13" s="47" t="n">
        <f aca="false">M12 + M12*(MonEnergyCostEscalation-MonProductionDegredation)</f>
        <v>0</v>
      </c>
      <c r="Y13" s="23" t="n">
        <f aca="false">SUM(C13:P13)</f>
        <v>5524.48088984737</v>
      </c>
      <c r="Z13" s="23" t="n">
        <f aca="false">Z12+Y12</f>
        <v>-2291366.79978434</v>
      </c>
    </row>
    <row collapsed="false" customFormat="false" customHeight="false" hidden="false" ht="15.75" outlineLevel="0" r="14">
      <c r="A14" s="0" t="n">
        <v>2</v>
      </c>
      <c r="B14" s="0" t="n">
        <f aca="false">B13+1</f>
        <v>13</v>
      </c>
      <c r="L14" s="47" t="n">
        <f aca="false">L13 + L13*(MonEnergyCostEscalation-MonProductionDegredation)</f>
        <v>5549.0341382467</v>
      </c>
      <c r="M14" s="47" t="n">
        <f aca="false">M13 + M13*(MonEnergyCostEscalation-MonProductionDegredation)</f>
        <v>0</v>
      </c>
      <c r="Y14" s="23" t="n">
        <f aca="false">SUM(C14:P14)</f>
        <v>5549.0341382467</v>
      </c>
      <c r="Z14" s="23" t="n">
        <f aca="false">Z13+Y13</f>
        <v>-2285842.31889449</v>
      </c>
    </row>
    <row collapsed="false" customFormat="false" customHeight="false" hidden="false" ht="15.75" outlineLevel="0" r="15">
      <c r="A15" s="0" t="n">
        <v>2</v>
      </c>
      <c r="B15" s="0" t="n">
        <f aca="false">B14+1</f>
        <v>14</v>
      </c>
      <c r="L15" s="47" t="n">
        <f aca="false">L14 + L14*(MonEnergyCostEscalation-MonProductionDegredation)</f>
        <v>5573.69651219446</v>
      </c>
      <c r="M15" s="47" t="n">
        <f aca="false">M14 + M14*(MonEnergyCostEscalation-MonProductionDegredation)</f>
        <v>0</v>
      </c>
      <c r="Y15" s="23" t="n">
        <f aca="false">SUM(C15:P15)</f>
        <v>5573.69651219446</v>
      </c>
      <c r="Z15" s="23" t="n">
        <f aca="false">Z14+Y14</f>
        <v>-2280293.28475625</v>
      </c>
    </row>
    <row collapsed="false" customFormat="false" customHeight="false" hidden="false" ht="15.75" outlineLevel="0" r="16">
      <c r="A16" s="0" t="n">
        <v>2</v>
      </c>
      <c r="B16" s="0" t="n">
        <f aca="false">B15+1</f>
        <v>15</v>
      </c>
      <c r="L16" s="47" t="n">
        <f aca="false">L15 + L15*(MonEnergyCostEscalation-MonProductionDegredation)</f>
        <v>5598.4684966931</v>
      </c>
      <c r="M16" s="47" t="n">
        <f aca="false">M15 + M15*(MonEnergyCostEscalation-MonProductionDegredation)</f>
        <v>0</v>
      </c>
      <c r="Y16" s="23" t="n">
        <f aca="false">SUM(C16:P16)</f>
        <v>5598.4684966931</v>
      </c>
      <c r="Z16" s="23" t="n">
        <f aca="false">Z15+Y15</f>
        <v>-2274719.58824405</v>
      </c>
    </row>
    <row collapsed="false" customFormat="false" customHeight="false" hidden="false" ht="15.75" outlineLevel="0" r="17">
      <c r="A17" s="0" t="n">
        <v>2</v>
      </c>
      <c r="B17" s="0" t="n">
        <f aca="false">B16+1</f>
        <v>16</v>
      </c>
      <c r="G17" s="48" t="n">
        <f aca="false">AdjustedGroveValue * VLOOKUP(B16,FedTaxCreditTable,2,1 )</f>
        <v>702000</v>
      </c>
      <c r="J17" s="23" t="n">
        <f aca="false">(SolarGrovePrice * VLOOKUP(B17,DepreciationTable,2,1) * FedTaxRate) * VLOOKUP(B17,DepreciationTable,3,1)</f>
        <v>348075</v>
      </c>
      <c r="K17" s="0" t="n">
        <f aca="false">SolarGrovePrice * VLOOKUP(B17,DepreciationTable,4,1) * StateTaxRate</f>
        <v>31590</v>
      </c>
      <c r="L17" s="47" t="n">
        <f aca="false">L16 + L16*(MonEnergyCostEscalation-MonProductionDegredation)</f>
        <v>5623.35057890062</v>
      </c>
      <c r="M17" s="47" t="n">
        <f aca="false">M16 + M16*(MonEnergyCostEscalation-MonProductionDegredation)</f>
        <v>0</v>
      </c>
      <c r="Y17" s="23" t="n">
        <f aca="false">SUM(C17:P17)</f>
        <v>1087288.3505789</v>
      </c>
      <c r="Z17" s="23" t="n">
        <f aca="false">Z16+Y16</f>
        <v>-2269121.11974736</v>
      </c>
    </row>
    <row collapsed="false" customFormat="false" customHeight="false" hidden="false" ht="15.75" outlineLevel="0" r="18">
      <c r="A18" s="0" t="n">
        <v>2</v>
      </c>
      <c r="B18" s="0" t="n">
        <f aca="false">B17+1</f>
        <v>17</v>
      </c>
      <c r="L18" s="47" t="n">
        <f aca="false">L17 + L17*(MonEnergyCostEscalation-MonProductionDegredation)</f>
        <v>5648.34324814018</v>
      </c>
      <c r="M18" s="47" t="n">
        <f aca="false">M17 + M17*(MonEnergyCostEscalation-MonProductionDegredation)</f>
        <v>0</v>
      </c>
      <c r="Y18" s="23" t="n">
        <f aca="false">SUM(C18:P18)</f>
        <v>5648.34324814018</v>
      </c>
      <c r="Z18" s="23" t="n">
        <f aca="false">Z17+Y17</f>
        <v>-1181832.76916846</v>
      </c>
    </row>
    <row collapsed="false" customFormat="false" customHeight="false" hidden="false" ht="15.75" outlineLevel="0" r="19">
      <c r="A19" s="0" t="n">
        <v>2</v>
      </c>
      <c r="B19" s="0" t="n">
        <f aca="false">B18+1</f>
        <v>18</v>
      </c>
      <c r="L19" s="47" t="n">
        <f aca="false">L18 + L18*(MonEnergyCostEscalation-MonProductionDegredation)</f>
        <v>5673.4469959097</v>
      </c>
      <c r="M19" s="47" t="n">
        <f aca="false">M18 + M18*(MonEnergyCostEscalation-MonProductionDegredation)</f>
        <v>0</v>
      </c>
      <c r="Y19" s="23" t="n">
        <f aca="false">SUM(C19:P19)</f>
        <v>5673.4469959097</v>
      </c>
      <c r="Z19" s="23" t="n">
        <f aca="false">Z18+Y18</f>
        <v>-1176184.42592032</v>
      </c>
    </row>
    <row collapsed="false" customFormat="false" customHeight="false" hidden="false" ht="15.75" outlineLevel="0" r="20">
      <c r="A20" s="0" t="n">
        <v>2</v>
      </c>
      <c r="B20" s="0" t="n">
        <f aca="false">B19+1</f>
        <v>19</v>
      </c>
      <c r="L20" s="47" t="n">
        <f aca="false">L19 + L19*(MonEnergyCostEscalation-MonProductionDegredation)</f>
        <v>5698.66231589152</v>
      </c>
      <c r="M20" s="47" t="n">
        <f aca="false">M19 + M19*(MonEnergyCostEscalation-MonProductionDegredation)</f>
        <v>0</v>
      </c>
      <c r="Y20" s="23" t="n">
        <f aca="false">SUM(C20:P20)</f>
        <v>5698.66231589152</v>
      </c>
      <c r="Z20" s="23" t="n">
        <f aca="false">Z19+Y19</f>
        <v>-1170510.97892441</v>
      </c>
    </row>
    <row collapsed="false" customFormat="false" customHeight="false" hidden="false" ht="15.75" outlineLevel="0" r="21">
      <c r="A21" s="0" t="n">
        <v>2</v>
      </c>
      <c r="B21" s="0" t="n">
        <f aca="false">B20+1</f>
        <v>20</v>
      </c>
      <c r="L21" s="47" t="n">
        <f aca="false">L20 + L20*(MonEnergyCostEscalation-MonProductionDegredation)</f>
        <v>5723.98970396215</v>
      </c>
      <c r="M21" s="47" t="n">
        <f aca="false">M20 + M20*(MonEnergyCostEscalation-MonProductionDegredation)</f>
        <v>0</v>
      </c>
      <c r="Y21" s="23" t="n">
        <f aca="false">SUM(C21:P21)</f>
        <v>5723.98970396215</v>
      </c>
      <c r="Z21" s="23" t="n">
        <f aca="false">Z20+Y20</f>
        <v>-1164812.31660852</v>
      </c>
    </row>
    <row collapsed="false" customFormat="false" customHeight="false" hidden="false" ht="15.75" outlineLevel="0" r="22">
      <c r="A22" s="0" t="n">
        <v>2</v>
      </c>
      <c r="B22" s="0" t="n">
        <f aca="false">B21+1</f>
        <v>21</v>
      </c>
      <c r="L22" s="47" t="n">
        <f aca="false">L21 + L21*(MonEnergyCostEscalation-MonProductionDegredation)</f>
        <v>5749.42965820198</v>
      </c>
      <c r="M22" s="47" t="n">
        <f aca="false">M21 + M21*(MonEnergyCostEscalation-MonProductionDegredation)</f>
        <v>0</v>
      </c>
      <c r="Y22" s="23" t="n">
        <f aca="false">SUM(C22:P22)</f>
        <v>5749.42965820198</v>
      </c>
      <c r="Z22" s="23" t="n">
        <f aca="false">Z21+Y21</f>
        <v>-1159088.32690455</v>
      </c>
    </row>
    <row collapsed="false" customFormat="false" customHeight="false" hidden="false" ht="15.75" outlineLevel="0" r="23">
      <c r="A23" s="0" t="n">
        <v>2</v>
      </c>
      <c r="B23" s="0" t="n">
        <f aca="false">B22+1</f>
        <v>22</v>
      </c>
      <c r="L23" s="47" t="n">
        <f aca="false">L22 + L22*(MonEnergyCostEscalation-MonProductionDegredation)</f>
        <v>5774.9826789051</v>
      </c>
      <c r="M23" s="47" t="n">
        <f aca="false">M22 + M22*(MonEnergyCostEscalation-MonProductionDegredation)</f>
        <v>0</v>
      </c>
      <c r="Y23" s="23" t="n">
        <f aca="false">SUM(C23:P23)</f>
        <v>5774.9826789051</v>
      </c>
      <c r="Z23" s="23" t="n">
        <f aca="false">Z22+Y22</f>
        <v>-1153338.89724635</v>
      </c>
    </row>
    <row collapsed="false" customFormat="false" customHeight="false" hidden="false" ht="15.75" outlineLevel="0" r="24">
      <c r="A24" s="0" t="n">
        <v>2</v>
      </c>
      <c r="B24" s="0" t="n">
        <f aca="false">B23+1</f>
        <v>23</v>
      </c>
      <c r="F24" s="49"/>
      <c r="L24" s="47" t="n">
        <f aca="false">L23 + L23*(MonEnergyCostEscalation-MonProductionDegredation)</f>
        <v>5800.64926858912</v>
      </c>
      <c r="M24" s="47" t="n">
        <f aca="false">M23 + M23*(MonEnergyCostEscalation-MonProductionDegredation)</f>
        <v>0</v>
      </c>
      <c r="Y24" s="23" t="n">
        <f aca="false">SUM(C24:P24)</f>
        <v>5800.64926858912</v>
      </c>
      <c r="Z24" s="23" t="n">
        <f aca="false">Z23+Y23</f>
        <v>-1147563.91456745</v>
      </c>
    </row>
    <row collapsed="false" customFormat="false" customHeight="false" hidden="false" ht="15.75" outlineLevel="0" r="25">
      <c r="A25" s="0" t="n">
        <v>2</v>
      </c>
      <c r="B25" s="0" t="n">
        <f aca="false">B24+1</f>
        <v>24</v>
      </c>
      <c r="F25" s="49"/>
      <c r="L25" s="47" t="n">
        <f aca="false">L24 + L24*(MonEnergyCostEscalation-MonProductionDegredation)</f>
        <v>5826.42993200507</v>
      </c>
      <c r="M25" s="47" t="n">
        <f aca="false">M24 + M24*(MonEnergyCostEscalation-MonProductionDegredation)</f>
        <v>0</v>
      </c>
      <c r="Y25" s="23" t="n">
        <f aca="false">SUM(C25:P25)</f>
        <v>5826.42993200507</v>
      </c>
      <c r="Z25" s="23" t="n">
        <f aca="false">Z24+Y24</f>
        <v>-1141763.26529886</v>
      </c>
    </row>
    <row collapsed="false" customFormat="false" customHeight="false" hidden="false" ht="15.75" outlineLevel="0" r="26">
      <c r="A26" s="0" t="n">
        <v>3</v>
      </c>
      <c r="B26" s="0" t="n">
        <f aca="false">B25+1</f>
        <v>25</v>
      </c>
      <c r="F26" s="49"/>
      <c r="L26" s="47" t="n">
        <f aca="false">L25 + L25*(MonEnergyCostEscalation-MonProductionDegredation)</f>
        <v>5852.32517614732</v>
      </c>
      <c r="M26" s="47" t="n">
        <f aca="false">M25 + M25*(MonEnergyCostEscalation-MonProductionDegredation)</f>
        <v>0</v>
      </c>
      <c r="Y26" s="23" t="n">
        <f aca="false">SUM(C26:P26)</f>
        <v>5852.32517614732</v>
      </c>
      <c r="Z26" s="23" t="n">
        <f aca="false">Z25+Y25</f>
        <v>-1135936.83536685</v>
      </c>
    </row>
    <row collapsed="false" customFormat="false" customHeight="false" hidden="false" ht="15.75" outlineLevel="0" r="27">
      <c r="A27" s="0" t="n">
        <v>3</v>
      </c>
      <c r="B27" s="0" t="n">
        <f aca="false">B26+1</f>
        <v>26</v>
      </c>
      <c r="F27" s="49"/>
      <c r="L27" s="47" t="n">
        <f aca="false">L26 + L26*(MonEnergyCostEscalation-MonProductionDegredation)</f>
        <v>5878.33551026352</v>
      </c>
      <c r="M27" s="47" t="n">
        <f aca="false">M26 + M26*(MonEnergyCostEscalation-MonProductionDegredation)</f>
        <v>0</v>
      </c>
      <c r="Y27" s="23" t="n">
        <f aca="false">SUM(C27:P27)</f>
        <v>5878.33551026352</v>
      </c>
      <c r="Z27" s="23" t="n">
        <f aca="false">Z26+Y26</f>
        <v>-1130084.51019071</v>
      </c>
    </row>
    <row collapsed="false" customFormat="false" customHeight="false" hidden="false" ht="15.75" outlineLevel="0" r="28">
      <c r="A28" s="0" t="n">
        <v>3</v>
      </c>
      <c r="B28" s="0" t="n">
        <f aca="false">B27+1</f>
        <v>27</v>
      </c>
      <c r="F28" s="49"/>
      <c r="L28" s="47" t="n">
        <f aca="false">L27 + L27*(MonEnergyCostEscalation-MonProductionDegredation)</f>
        <v>5904.4614458647</v>
      </c>
      <c r="M28" s="47" t="n">
        <f aca="false">M27 + M27*(MonEnergyCostEscalation-MonProductionDegredation)</f>
        <v>0</v>
      </c>
      <c r="Y28" s="23" t="n">
        <f aca="false">SUM(C28:P28)</f>
        <v>5904.4614458647</v>
      </c>
      <c r="Z28" s="23" t="n">
        <f aca="false">Z27+Y27</f>
        <v>-1124206.17468044</v>
      </c>
    </row>
    <row collapsed="false" customFormat="false" customHeight="false" hidden="false" ht="15.75" outlineLevel="0" r="29">
      <c r="A29" s="0" t="n">
        <v>3</v>
      </c>
      <c r="B29" s="0" t="n">
        <f aca="false">B28+1</f>
        <v>28</v>
      </c>
      <c r="F29" s="49"/>
      <c r="L29" s="47" t="n">
        <f aca="false">L28 + L28*(MonEnergyCostEscalation-MonProductionDegredation)</f>
        <v>5930.70349673521</v>
      </c>
      <c r="M29" s="47" t="n">
        <f aca="false">M28 + M28*(MonEnergyCostEscalation-MonProductionDegredation)</f>
        <v>0</v>
      </c>
      <c r="Y29" s="23" t="n">
        <f aca="false">SUM(C29:P29)</f>
        <v>5930.70349673521</v>
      </c>
      <c r="Z29" s="23" t="n">
        <f aca="false">Z28+Y28</f>
        <v>-1118301.71323458</v>
      </c>
    </row>
    <row collapsed="false" customFormat="false" customHeight="false" hidden="false" ht="15.75" outlineLevel="0" r="30">
      <c r="A30" s="0" t="n">
        <v>3</v>
      </c>
      <c r="B30" s="0" t="n">
        <f aca="false">B29+1</f>
        <v>29</v>
      </c>
      <c r="F30" s="49"/>
      <c r="L30" s="47" t="n">
        <f aca="false">L29 + L29*(MonEnergyCostEscalation-MonProductionDegredation)</f>
        <v>5957.06217894292</v>
      </c>
      <c r="M30" s="47" t="n">
        <f aca="false">M29 + M29*(MonEnergyCostEscalation-MonProductionDegredation)</f>
        <v>0</v>
      </c>
      <c r="Y30" s="23" t="n">
        <f aca="false">SUM(C30:P30)</f>
        <v>5957.06217894292</v>
      </c>
      <c r="Z30" s="23" t="n">
        <f aca="false">Z29+Y29</f>
        <v>-1112371.00973784</v>
      </c>
    </row>
    <row collapsed="false" customFormat="false" customHeight="false" hidden="false" ht="15.75" outlineLevel="0" r="31">
      <c r="A31" s="0" t="n">
        <v>3</v>
      </c>
      <c r="B31" s="0" t="n">
        <f aca="false">B30+1</f>
        <v>30</v>
      </c>
      <c r="F31" s="49"/>
      <c r="L31" s="47" t="n">
        <f aca="false">L30 + L30*(MonEnergyCostEscalation-MonProductionDegredation)</f>
        <v>5983.53801084933</v>
      </c>
      <c r="M31" s="47" t="n">
        <f aca="false">M30 + M30*(MonEnergyCostEscalation-MonProductionDegredation)</f>
        <v>0</v>
      </c>
      <c r="Y31" s="23" t="n">
        <f aca="false">SUM(C31:P31)</f>
        <v>5983.53801084933</v>
      </c>
      <c r="Z31" s="23" t="n">
        <f aca="false">Z30+Y30</f>
        <v>-1106413.9475589</v>
      </c>
    </row>
    <row collapsed="false" customFormat="false" customHeight="false" hidden="false" ht="15.75" outlineLevel="0" r="32">
      <c r="A32" s="0" t="n">
        <v>3</v>
      </c>
      <c r="B32" s="0" t="n">
        <f aca="false">B31+1</f>
        <v>31</v>
      </c>
      <c r="F32" s="49"/>
      <c r="L32" s="47" t="n">
        <f aca="false">L31 + L31*(MonEnergyCostEscalation-MonProductionDegredation)</f>
        <v>6010.13151311977</v>
      </c>
      <c r="M32" s="47" t="n">
        <f aca="false">M31 + M31*(MonEnergyCostEscalation-MonProductionDegredation)</f>
        <v>0</v>
      </c>
      <c r="Y32" s="23" t="n">
        <f aca="false">SUM(C32:P32)</f>
        <v>6010.13151311977</v>
      </c>
      <c r="Z32" s="23" t="n">
        <f aca="false">Z31+Y31</f>
        <v>-1100430.40954805</v>
      </c>
    </row>
    <row collapsed="false" customFormat="false" customHeight="false" hidden="false" ht="15.75" outlineLevel="0" r="33">
      <c r="A33" s="0" t="n">
        <v>3</v>
      </c>
      <c r="B33" s="0" t="n">
        <f aca="false">B32+1</f>
        <v>32</v>
      </c>
      <c r="F33" s="49"/>
      <c r="L33" s="47" t="n">
        <f aca="false">L32 + L32*(MonEnergyCostEscalation-MonProductionDegredation)</f>
        <v>6036.84320873364</v>
      </c>
      <c r="M33" s="47" t="n">
        <f aca="false">M32 + M32*(MonEnergyCostEscalation-MonProductionDegredation)</f>
        <v>0</v>
      </c>
      <c r="Y33" s="23" t="n">
        <f aca="false">SUM(C33:P33)</f>
        <v>6036.84320873364</v>
      </c>
      <c r="Z33" s="23" t="n">
        <f aca="false">Z32+Y32</f>
        <v>-1094420.27803493</v>
      </c>
    </row>
    <row collapsed="false" customFormat="false" customHeight="false" hidden="false" ht="15.75" outlineLevel="0" r="34">
      <c r="A34" s="0" t="n">
        <v>3</v>
      </c>
      <c r="B34" s="0" t="n">
        <f aca="false">B33+1</f>
        <v>33</v>
      </c>
      <c r="F34" s="49"/>
      <c r="L34" s="47" t="n">
        <f aca="false">L33 + L33*(MonEnergyCostEscalation-MonProductionDegredation)</f>
        <v>6063.67362299468</v>
      </c>
      <c r="M34" s="47" t="n">
        <f aca="false">M33 + M33*(MonEnergyCostEscalation-MonProductionDegredation)</f>
        <v>0</v>
      </c>
      <c r="Y34" s="23" t="n">
        <f aca="false">SUM(C34:P34)</f>
        <v>6063.67362299468</v>
      </c>
      <c r="Z34" s="23" t="n">
        <f aca="false">Z33+Y33</f>
        <v>-1088383.4348262</v>
      </c>
    </row>
    <row collapsed="false" customFormat="false" customHeight="false" hidden="false" ht="15.75" outlineLevel="0" r="35">
      <c r="A35" s="0" t="n">
        <v>3</v>
      </c>
      <c r="B35" s="0" t="n">
        <f aca="false">B34+1</f>
        <v>34</v>
      </c>
      <c r="F35" s="49"/>
      <c r="L35" s="47" t="n">
        <f aca="false">L34 + L34*(MonEnergyCostEscalation-MonProductionDegredation)</f>
        <v>6090.62328354132</v>
      </c>
      <c r="M35" s="47" t="n">
        <f aca="false">M34 + M34*(MonEnergyCostEscalation-MonProductionDegredation)</f>
        <v>0</v>
      </c>
      <c r="Y35" s="23" t="n">
        <f aca="false">SUM(C35:P35)</f>
        <v>6090.62328354132</v>
      </c>
      <c r="Z35" s="23" t="n">
        <f aca="false">Z34+Y34</f>
        <v>-1082319.7612032</v>
      </c>
    </row>
    <row collapsed="false" customFormat="false" customHeight="false" hidden="false" ht="15.75" outlineLevel="0" r="36">
      <c r="A36" s="0" t="n">
        <v>3</v>
      </c>
      <c r="B36" s="0" t="n">
        <f aca="false">B35+1</f>
        <v>35</v>
      </c>
      <c r="F36" s="49"/>
      <c r="L36" s="47" t="n">
        <f aca="false">L35 + L35*(MonEnergyCostEscalation-MonProductionDegredation)</f>
        <v>6117.69272035706</v>
      </c>
      <c r="M36" s="47" t="n">
        <f aca="false">M35 + M35*(MonEnergyCostEscalation-MonProductionDegredation)</f>
        <v>0</v>
      </c>
      <c r="Y36" s="23" t="n">
        <f aca="false">SUM(C36:P36)</f>
        <v>6117.69272035706</v>
      </c>
      <c r="Z36" s="23" t="n">
        <f aca="false">Z35+Y35</f>
        <v>-1076229.13791966</v>
      </c>
    </row>
    <row collapsed="false" customFormat="false" customHeight="false" hidden="false" ht="15.75" outlineLevel="0" r="37">
      <c r="A37" s="0" t="n">
        <v>3</v>
      </c>
      <c r="B37" s="0" t="n">
        <f aca="false">B36+1</f>
        <v>36</v>
      </c>
      <c r="F37" s="49"/>
      <c r="L37" s="47" t="n">
        <f aca="false">L36 + L36*(MonEnergyCostEscalation-MonProductionDegredation)</f>
        <v>6144.88246578087</v>
      </c>
      <c r="M37" s="47" t="n">
        <f aca="false">M36 + M36*(MonEnergyCostEscalation-MonProductionDegredation)</f>
        <v>0</v>
      </c>
      <c r="Y37" s="23" t="n">
        <f aca="false">SUM(C37:P37)</f>
        <v>6144.88246578087</v>
      </c>
      <c r="Z37" s="23" t="n">
        <f aca="false">Z36+Y36</f>
        <v>-1070111.4451993</v>
      </c>
    </row>
    <row collapsed="false" customFormat="false" customHeight="false" hidden="false" ht="15.75" outlineLevel="0" r="38">
      <c r="A38" s="0" t="n">
        <v>4</v>
      </c>
      <c r="B38" s="0" t="n">
        <f aca="false">B37+1</f>
        <v>37</v>
      </c>
      <c r="F38" s="49"/>
      <c r="L38" s="47" t="n">
        <f aca="false">L37 + L37*(MonEnergyCostEscalation-MonProductionDegredation)</f>
        <v>6172.19305451767</v>
      </c>
      <c r="M38" s="47" t="n">
        <f aca="false">M37 + M37*(MonEnergyCostEscalation-MonProductionDegredation)</f>
        <v>0</v>
      </c>
      <c r="Y38" s="23" t="n">
        <f aca="false">SUM(C38:P38)</f>
        <v>6172.19305451767</v>
      </c>
      <c r="Z38" s="23" t="n">
        <f aca="false">Z37+Y37</f>
        <v>-1063966.56273352</v>
      </c>
    </row>
    <row collapsed="false" customFormat="false" customHeight="false" hidden="false" ht="15.75" outlineLevel="0" r="39">
      <c r="A39" s="0" t="n">
        <v>4</v>
      </c>
      <c r="B39" s="0" t="n">
        <f aca="false">B38+1</f>
        <v>38</v>
      </c>
      <c r="F39" s="49"/>
      <c r="L39" s="47" t="n">
        <f aca="false">L38 + L38*(MonEnergyCostEscalation-MonProductionDegredation)</f>
        <v>6199.62502364886</v>
      </c>
      <c r="M39" s="47" t="n">
        <f aca="false">M38 + M38*(MonEnergyCostEscalation-MonProductionDegredation)</f>
        <v>0</v>
      </c>
      <c r="Y39" s="23" t="n">
        <f aca="false">SUM(C39:P39)</f>
        <v>6199.62502364886</v>
      </c>
      <c r="Z39" s="23" t="n">
        <f aca="false">Z38+Y38</f>
        <v>-1057794.369679</v>
      </c>
    </row>
    <row collapsed="false" customFormat="false" customHeight="false" hidden="false" ht="15.75" outlineLevel="0" r="40">
      <c r="A40" s="0" t="n">
        <v>4</v>
      </c>
      <c r="B40" s="0" t="n">
        <f aca="false">B39+1</f>
        <v>39</v>
      </c>
      <c r="F40" s="49"/>
      <c r="L40" s="47" t="n">
        <f aca="false">L39 + L39*(MonEnergyCostEscalation-MonProductionDegredation)</f>
        <v>6227.17891264286</v>
      </c>
      <c r="M40" s="47" t="n">
        <f aca="false">M39 + M39*(MonEnergyCostEscalation-MonProductionDegredation)</f>
        <v>0</v>
      </c>
      <c r="Y40" s="23" t="n">
        <f aca="false">SUM(C40:P40)</f>
        <v>6227.17891264286</v>
      </c>
      <c r="Z40" s="23" t="n">
        <f aca="false">Z39+Y39</f>
        <v>-1051594.74465536</v>
      </c>
    </row>
    <row collapsed="false" customFormat="false" customHeight="false" hidden="false" ht="15.75" outlineLevel="0" r="41">
      <c r="A41" s="0" t="n">
        <v>4</v>
      </c>
      <c r="B41" s="0" t="n">
        <f aca="false">B40+1</f>
        <v>40</v>
      </c>
      <c r="F41" s="49"/>
      <c r="L41" s="47" t="n">
        <f aca="false">L40 + L40*(MonEnergyCostEscalation-MonProductionDegredation)</f>
        <v>6254.85526336571</v>
      </c>
      <c r="M41" s="47" t="n">
        <f aca="false">M40 + M40*(MonEnergyCostEscalation-MonProductionDegredation)</f>
        <v>0</v>
      </c>
      <c r="Y41" s="23" t="n">
        <f aca="false">SUM(C41:P41)</f>
        <v>6254.85526336571</v>
      </c>
      <c r="Z41" s="23" t="n">
        <f aca="false">Z40+Y40</f>
        <v>-1045367.56574271</v>
      </c>
    </row>
    <row collapsed="false" customFormat="false" customHeight="false" hidden="false" ht="15.75" outlineLevel="0" r="42">
      <c r="A42" s="0" t="n">
        <v>4</v>
      </c>
      <c r="B42" s="0" t="n">
        <f aca="false">B41+1</f>
        <v>41</v>
      </c>
      <c r="F42" s="49"/>
      <c r="L42" s="47" t="n">
        <f aca="false">L41 + L41*(MonEnergyCostEscalation-MonProductionDegredation)</f>
        <v>6282.65462009178</v>
      </c>
      <c r="M42" s="47" t="n">
        <f aca="false">M41 + M41*(MonEnergyCostEscalation-MonProductionDegredation)</f>
        <v>0</v>
      </c>
      <c r="Y42" s="23" t="n">
        <f aca="false">SUM(C42:P42)</f>
        <v>6282.65462009178</v>
      </c>
      <c r="Z42" s="23" t="n">
        <f aca="false">Z41+Y41</f>
        <v>-1039112.71047935</v>
      </c>
    </row>
    <row collapsed="false" customFormat="false" customHeight="false" hidden="false" ht="15.75" outlineLevel="0" r="43">
      <c r="A43" s="0" t="n">
        <v>4</v>
      </c>
      <c r="B43" s="0" t="n">
        <f aca="false">B42+1</f>
        <v>42</v>
      </c>
      <c r="F43" s="49"/>
      <c r="L43" s="47" t="n">
        <f aca="false">L42 + L42*(MonEnergyCostEscalation-MonProductionDegredation)</f>
        <v>6310.57752951441</v>
      </c>
      <c r="M43" s="47" t="n">
        <f aca="false">M42 + M42*(MonEnergyCostEscalation-MonProductionDegredation)</f>
        <v>0</v>
      </c>
      <c r="Y43" s="23" t="n">
        <f aca="false">SUM(C43:P43)</f>
        <v>6310.57752951441</v>
      </c>
      <c r="Z43" s="23" t="n">
        <f aca="false">Z42+Y42</f>
        <v>-1032830.05585926</v>
      </c>
    </row>
    <row collapsed="false" customFormat="false" customHeight="false" hidden="false" ht="15.75" outlineLevel="0" r="44">
      <c r="A44" s="0" t="n">
        <v>4</v>
      </c>
      <c r="B44" s="0" t="n">
        <f aca="false">B43+1</f>
        <v>43</v>
      </c>
      <c r="F44" s="49"/>
      <c r="L44" s="47" t="n">
        <f aca="false">L43 + L43*(MonEnergyCostEscalation-MonProductionDegredation)</f>
        <v>6338.6245407567</v>
      </c>
      <c r="M44" s="47" t="n">
        <f aca="false">M43 + M43*(MonEnergyCostEscalation-MonProductionDegredation)</f>
        <v>0</v>
      </c>
      <c r="Y44" s="23" t="n">
        <f aca="false">SUM(C44:P44)</f>
        <v>6338.6245407567</v>
      </c>
      <c r="Z44" s="23" t="n">
        <f aca="false">Z43+Y43</f>
        <v>-1026519.47832974</v>
      </c>
    </row>
    <row collapsed="false" customFormat="false" customHeight="false" hidden="false" ht="15.75" outlineLevel="0" r="45">
      <c r="A45" s="0" t="n">
        <v>4</v>
      </c>
      <c r="B45" s="0" t="n">
        <f aca="false">B44+1</f>
        <v>44</v>
      </c>
      <c r="F45" s="49"/>
      <c r="L45" s="47" t="n">
        <f aca="false">L44 + L44*(MonEnergyCostEscalation-MonProductionDegredation)</f>
        <v>6366.79620538229</v>
      </c>
      <c r="M45" s="47" t="n">
        <f aca="false">M44 + M44*(MonEnergyCostEscalation-MonProductionDegredation)</f>
        <v>0</v>
      </c>
      <c r="Y45" s="23" t="n">
        <f aca="false">SUM(C45:P45)</f>
        <v>6366.79620538229</v>
      </c>
      <c r="Z45" s="23" t="n">
        <f aca="false">Z44+Y44</f>
        <v>-1020180.85378898</v>
      </c>
    </row>
    <row collapsed="false" customFormat="false" customHeight="false" hidden="false" ht="15.75" outlineLevel="0" r="46">
      <c r="A46" s="0" t="n">
        <v>4</v>
      </c>
      <c r="B46" s="0" t="n">
        <f aca="false">B45+1</f>
        <v>45</v>
      </c>
      <c r="F46" s="49"/>
      <c r="L46" s="47" t="n">
        <f aca="false">L45 + L45*(MonEnergyCostEscalation-MonProductionDegredation)</f>
        <v>6395.09307740621</v>
      </c>
      <c r="M46" s="47" t="n">
        <f aca="false">M45 + M45*(MonEnergyCostEscalation-MonProductionDegredation)</f>
        <v>0</v>
      </c>
      <c r="Y46" s="23" t="n">
        <f aca="false">SUM(C46:P46)</f>
        <v>6395.09307740621</v>
      </c>
      <c r="Z46" s="23" t="n">
        <f aca="false">Z45+Y45</f>
        <v>-1013814.0575836</v>
      </c>
    </row>
    <row collapsed="false" customFormat="false" customHeight="false" hidden="false" ht="15.75" outlineLevel="0" r="47">
      <c r="A47" s="0" t="n">
        <v>4</v>
      </c>
      <c r="B47" s="0" t="n">
        <f aca="false">B46+1</f>
        <v>46</v>
      </c>
      <c r="F47" s="49"/>
      <c r="L47" s="47" t="n">
        <f aca="false">L46 + L46*(MonEnergyCostEscalation-MonProductionDegredation)</f>
        <v>6423.51571330579</v>
      </c>
      <c r="M47" s="47" t="n">
        <f aca="false">M46 + M46*(MonEnergyCostEscalation-MonProductionDegredation)</f>
        <v>0</v>
      </c>
      <c r="Y47" s="23" t="n">
        <f aca="false">SUM(C47:P47)</f>
        <v>6423.51571330579</v>
      </c>
      <c r="Z47" s="23" t="n">
        <f aca="false">Z46+Y46</f>
        <v>-1007418.9645062</v>
      </c>
    </row>
    <row collapsed="false" customFormat="false" customHeight="false" hidden="false" ht="15.75" outlineLevel="0" r="48">
      <c r="A48" s="0" t="str">
        <f aca="false">REPT("--end--",1)</f>
        <v>--end--</v>
      </c>
      <c r="B48" s="0" t="str">
        <f aca="false">REPT("--end--",1)</f>
        <v>--end--</v>
      </c>
      <c r="C48" s="0" t="str">
        <f aca="false">REPT("--end--",1)</f>
        <v>--end--</v>
      </c>
      <c r="D48" s="0" t="str">
        <f aca="false">REPT("--end--",1)</f>
        <v>--end--</v>
      </c>
      <c r="E48" s="0" t="str">
        <f aca="false">REPT("--end--",1)</f>
        <v>--end--</v>
      </c>
      <c r="F48" s="0" t="str">
        <f aca="false">REPT("--end--",1)</f>
        <v>--end--</v>
      </c>
      <c r="G48" s="0" t="str">
        <f aca="false">REPT("--end--",1)</f>
        <v>--end--</v>
      </c>
      <c r="H48" s="0" t="str">
        <f aca="false">REPT("--end--",1)</f>
        <v>--end--</v>
      </c>
      <c r="I48" s="0" t="str">
        <f aca="false">REPT("--end--",1)</f>
        <v>--end--</v>
      </c>
      <c r="J48" s="0" t="str">
        <f aca="false">REPT("--end--",1)</f>
        <v>--end--</v>
      </c>
      <c r="K48" s="0" t="str">
        <f aca="false">REPT("--end--",1)</f>
        <v>--end--</v>
      </c>
      <c r="L48" s="0" t="str">
        <f aca="false">REPT("--end--",1)</f>
        <v>--end--</v>
      </c>
      <c r="M48" s="0" t="str">
        <f aca="false">REPT("--end--",1)</f>
        <v>--end--</v>
      </c>
      <c r="P48" s="43" t="str">
        <f aca="false">REPT("--end--",1)</f>
        <v>--end--</v>
      </c>
      <c r="Q48" s="0" t="str">
        <f aca="false">REPT("--end--",1)</f>
        <v>--end--</v>
      </c>
      <c r="R48" s="0" t="str">
        <f aca="false">REPT("--end--",1)</f>
        <v>--end--</v>
      </c>
      <c r="S48" s="0" t="str">
        <f aca="false">REPT("--end--",1)</f>
        <v>--end--</v>
      </c>
      <c r="U48" s="0" t="str">
        <f aca="false">REPT("--end--",1)</f>
        <v>--end--</v>
      </c>
      <c r="V48" s="0" t="str">
        <f aca="false">REPT("--end--",1)</f>
        <v>--end--</v>
      </c>
      <c r="W48" s="0" t="str">
        <f aca="false">REPT("--end--",1)</f>
        <v>--end--</v>
      </c>
      <c r="Y48" s="23" t="str">
        <f aca="false">REPT("--end--",1)</f>
        <v>--end--</v>
      </c>
      <c r="Z48" s="23" t="str">
        <f aca="false">REPT("--end--",1)</f>
        <v>--end--</v>
      </c>
      <c r="AA48" s="23" t="str">
        <f aca="false">REPT("--end--",1)</f>
        <v>--end--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LibreOffice/4.0.4.2$MacOSX_x86 LibreOffice_project/9e9821abd0ffdbc09cd8c52eaa574fa09eb08f2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2013-04-11T16:53:25.00Z</dcterms:created>
  <dc:creator>DESMOND WHEATLEY</dc:creator>
  <cp:lastModifiedBy>Bill</cp:lastModifiedBy>
  <dcterms:modified xsi:type="dcterms:W3CDTF">2013-07-28T00:59:19.00Z</dcterms:modified>
  <cp:revision>0</cp:revision>
</cp:coreProperties>
</file>